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SingleCells1.xml" ContentType="application/vnd.openxmlformats-officedocument.spreadsheetml.tableSingleCells+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8.xml" ContentType="application/vnd.openxmlformats-officedocument.drawing+xml"/>
  <Override PartName="/xl/charts/chart12.xml" ContentType="application/vnd.openxmlformats-officedocument.drawingml.chart+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autoCompressPictures="0"/>
  <mc:AlternateContent xmlns:mc="http://schemas.openxmlformats.org/markup-compatibility/2006">
    <mc:Choice Requires="x15">
      <x15ac:absPath xmlns:x15ac="http://schemas.microsoft.com/office/spreadsheetml/2010/11/ac" url="C:\Users\user\Documents\Anne\CCM\CCM related\Oversight\Dashboards\2016 Feb\Malaria\"/>
    </mc:Choice>
  </mc:AlternateContent>
  <bookViews>
    <workbookView xWindow="0" yWindow="0" windowWidth="24000" windowHeight="9435" tabRatio="711" firstSheet="4" activeTab="2"/>
  </bookViews>
  <sheets>
    <sheet name="Menu" sheetId="1" r:id="rId1"/>
    <sheet name="List of Indicators" sheetId="45" r:id="rId2"/>
    <sheet name="Data Entry" sheetId="29" r:id="rId3"/>
    <sheet name="Grant Detail" sheetId="27" r:id="rId4"/>
    <sheet name="Finance" sheetId="30" r:id="rId5"/>
    <sheet name="Programmatic" sheetId="37" r:id="rId6"/>
    <sheet name="Management" sheetId="35" r:id="rId7"/>
    <sheet name="Actions" sheetId="39" r:id="rId8"/>
    <sheet name="Notes" sheetId="46" r:id="rId9"/>
    <sheet name="Recommendations" sheetId="42" r:id="rId10"/>
    <sheet name="Setup" sheetId="32" state="hidden" r:id="rId11"/>
  </sheets>
  <definedNames>
    <definedName name="Component">Setup!$B$9:$B$14</definedName>
    <definedName name="Countries">Setup!$J$9:$J$143</definedName>
    <definedName name="Currency">Setup!$C$9:$C$11</definedName>
    <definedName name="LFA">Setup!$H$9:$H$22</definedName>
    <definedName name="Medicaments">Setup!$I$9:$I$30</definedName>
    <definedName name="PERIOD">Setup!$F$9:$F$21</definedName>
    <definedName name="Phase">Setup!$E$9:$E$13</definedName>
    <definedName name="_xlnm.Print_Area" localSheetId="7">Actions!$A$1:$L$43</definedName>
    <definedName name="_xlnm.Print_Area" localSheetId="4">Finance!$A$2:$K$31</definedName>
    <definedName name="_xlnm.Print_Area" localSheetId="6">Management!$A$1:$L$34</definedName>
    <definedName name="_xlnm.Print_Area" localSheetId="5">Programmatic!$A$1:$Q$29</definedName>
    <definedName name="PrintA">Actions!$A$2:$L$34</definedName>
    <definedName name="PrintDataF">'Data Entry'!$B$25:$J$69</definedName>
    <definedName name="PrintDataM">'Data Entry'!$B$71:$H$115</definedName>
    <definedName name="PrintF">Finance!$A$2:$K$31</definedName>
    <definedName name="PrintGD">'Grant Detail'!$A$2:$J$13</definedName>
    <definedName name="PrintM" localSheetId="7">Actions!$A$2:$L$6</definedName>
    <definedName name="PrintM">Management!$A$2:$L$36</definedName>
    <definedName name="PrintP">Programmatic!$A$2:$P$30</definedName>
    <definedName name="PrintR">Recommendations!$A$2:$N$41</definedName>
    <definedName name="Rating">Setup!$G$9:$G$14</definedName>
    <definedName name="Round">Setup!$D$9:$D$21</definedName>
  </definedNames>
  <calcPr calcId="152511"/>
</workbook>
</file>

<file path=xl/calcChain.xml><?xml version="1.0" encoding="utf-8"?>
<calcChain xmlns="http://schemas.openxmlformats.org/spreadsheetml/2006/main">
  <c r="D52" i="29" l="1"/>
  <c r="E50" i="29"/>
  <c r="E51" i="29"/>
  <c r="O31" i="29"/>
  <c r="E54" i="29" l="1"/>
  <c r="F40" i="29" l="1"/>
  <c r="F41" i="29"/>
  <c r="F42" i="29"/>
  <c r="F43" i="29"/>
  <c r="F44" i="29"/>
  <c r="F45" i="29"/>
  <c r="F46" i="29"/>
  <c r="F47" i="29"/>
  <c r="F48" i="29"/>
  <c r="F39" i="29"/>
  <c r="A10" i="46" l="1"/>
  <c r="D97" i="29" l="1"/>
  <c r="E97" i="29"/>
  <c r="F97" i="29"/>
  <c r="G97" i="29"/>
  <c r="H97" i="29"/>
  <c r="I97" i="29"/>
  <c r="J97" i="29"/>
  <c r="K97" i="29"/>
  <c r="L97" i="29"/>
  <c r="M97" i="29"/>
  <c r="N97" i="29"/>
  <c r="C97" i="29"/>
  <c r="C51" i="29" l="1"/>
  <c r="C33" i="29"/>
  <c r="R29" i="29" s="1"/>
  <c r="D33" i="29"/>
  <c r="D35" i="29" s="1"/>
  <c r="G33" i="29"/>
  <c r="H33" i="29" s="1"/>
  <c r="C104" i="29"/>
  <c r="D104" i="29" s="1"/>
  <c r="E104" i="29" s="1"/>
  <c r="F104" i="29" s="1"/>
  <c r="G104" i="29" s="1"/>
  <c r="H104" i="29" s="1"/>
  <c r="I104" i="29" s="1"/>
  <c r="J104" i="29" s="1"/>
  <c r="K104" i="29" s="1"/>
  <c r="L104" i="29" s="1"/>
  <c r="M104" i="29" s="1"/>
  <c r="N104" i="29" s="1"/>
  <c r="C102" i="29"/>
  <c r="D102" i="29" s="1"/>
  <c r="E102" i="29" s="1"/>
  <c r="F102" i="29" s="1"/>
  <c r="G102" i="29" s="1"/>
  <c r="H102" i="29" s="1"/>
  <c r="I102" i="29" s="1"/>
  <c r="J102" i="29" s="1"/>
  <c r="K102" i="29" s="1"/>
  <c r="L102" i="29" s="1"/>
  <c r="M102" i="29" s="1"/>
  <c r="N102" i="29" s="1"/>
  <c r="N34" i="29"/>
  <c r="D51" i="29"/>
  <c r="K28" i="30"/>
  <c r="J16" i="29"/>
  <c r="G13" i="27" s="1"/>
  <c r="B27" i="37"/>
  <c r="B1" i="46"/>
  <c r="G94" i="29"/>
  <c r="F90" i="29"/>
  <c r="H109" i="29"/>
  <c r="G85" i="29"/>
  <c r="E80" i="29"/>
  <c r="F73" i="29"/>
  <c r="E55" i="29"/>
  <c r="E114" i="29"/>
  <c r="G114" i="29" s="1"/>
  <c r="I114" i="29" s="1"/>
  <c r="E113" i="29"/>
  <c r="G113" i="29" s="1"/>
  <c r="I113" i="29" s="1"/>
  <c r="E112" i="29"/>
  <c r="G112" i="29" s="1"/>
  <c r="I112" i="29" s="1"/>
  <c r="E115" i="29"/>
  <c r="G115" i="29" s="1"/>
  <c r="I115" i="29" s="1"/>
  <c r="S120" i="29"/>
  <c r="R120" i="29"/>
  <c r="Q120" i="29"/>
  <c r="P120" i="29"/>
  <c r="O120" i="29"/>
  <c r="N120" i="29"/>
  <c r="M120" i="29"/>
  <c r="L120" i="29"/>
  <c r="K120" i="29"/>
  <c r="J120" i="29"/>
  <c r="I120" i="29"/>
  <c r="H120" i="29"/>
  <c r="N98" i="29"/>
  <c r="M98" i="29"/>
  <c r="L98" i="29"/>
  <c r="K98" i="29"/>
  <c r="J98" i="29"/>
  <c r="I98" i="29"/>
  <c r="H98" i="29"/>
  <c r="G98" i="29"/>
  <c r="F98" i="29"/>
  <c r="E98" i="29"/>
  <c r="D98" i="29"/>
  <c r="C98" i="29"/>
  <c r="B3" i="27"/>
  <c r="B2" i="37" s="1"/>
  <c r="E27" i="37"/>
  <c r="E26" i="37"/>
  <c r="E25" i="37"/>
  <c r="E24" i="37"/>
  <c r="E23" i="37"/>
  <c r="F25" i="37"/>
  <c r="F24" i="37"/>
  <c r="F23" i="37"/>
  <c r="F26" i="37"/>
  <c r="F27" i="37"/>
  <c r="F28" i="37"/>
  <c r="E28" i="37"/>
  <c r="F22" i="37"/>
  <c r="E22" i="37"/>
  <c r="F21" i="37"/>
  <c r="F20" i="37"/>
  <c r="E21" i="37"/>
  <c r="E20" i="37"/>
  <c r="J3" i="35"/>
  <c r="L3" i="35"/>
  <c r="I3" i="30"/>
  <c r="K3" i="30"/>
  <c r="T141" i="29"/>
  <c r="T140" i="29"/>
  <c r="T137" i="29"/>
  <c r="T136" i="29"/>
  <c r="T133" i="29"/>
  <c r="T132" i="29"/>
  <c r="T129" i="29"/>
  <c r="T128" i="29"/>
  <c r="T125" i="29"/>
  <c r="T124" i="29"/>
  <c r="T139" i="29"/>
  <c r="T138" i="29"/>
  <c r="T135" i="29"/>
  <c r="T134" i="29"/>
  <c r="T131" i="29"/>
  <c r="T130" i="29"/>
  <c r="T127" i="29"/>
  <c r="T126" i="29"/>
  <c r="T123" i="29"/>
  <c r="T122" i="29"/>
  <c r="H9" i="27"/>
  <c r="K5" i="30"/>
  <c r="K4" i="30"/>
  <c r="L5" i="35"/>
  <c r="L4" i="35"/>
  <c r="Q5" i="37"/>
  <c r="Q4" i="37"/>
  <c r="M5" i="42"/>
  <c r="M4" i="42"/>
  <c r="L5" i="39"/>
  <c r="L4" i="39"/>
  <c r="C4" i="39"/>
  <c r="C3" i="39"/>
  <c r="B3" i="39"/>
  <c r="C4" i="42"/>
  <c r="C3" i="42"/>
  <c r="B3" i="42"/>
  <c r="C4" i="37"/>
  <c r="C3" i="37"/>
  <c r="B3" i="37"/>
  <c r="C4" i="35"/>
  <c r="C3" i="35"/>
  <c r="B3" i="35"/>
  <c r="C4" i="30"/>
  <c r="C3" i="30"/>
  <c r="B3" i="30"/>
  <c r="I9" i="27"/>
  <c r="G9" i="27"/>
  <c r="G11" i="27"/>
  <c r="D11" i="27"/>
  <c r="B12" i="27"/>
  <c r="I11" i="27"/>
  <c r="D10" i="27"/>
  <c r="B10" i="27"/>
  <c r="B9" i="27"/>
  <c r="B6" i="27"/>
  <c r="B4" i="1"/>
  <c r="E94" i="29"/>
  <c r="E93" i="29"/>
  <c r="C34" i="29"/>
  <c r="D34" i="29" s="1"/>
  <c r="E34" i="29" s="1"/>
  <c r="F34" i="29" s="1"/>
  <c r="G34" i="29"/>
  <c r="H34" i="29"/>
  <c r="I34" i="29"/>
  <c r="J34" i="29"/>
  <c r="K34" i="29"/>
  <c r="L34" i="29"/>
  <c r="M34" i="29"/>
  <c r="D11" i="42"/>
  <c r="D33" i="42"/>
  <c r="D34" i="42"/>
  <c r="D35" i="42"/>
  <c r="D36" i="42"/>
  <c r="D37" i="42"/>
  <c r="D38" i="42"/>
  <c r="D39" i="42"/>
  <c r="D40" i="42"/>
  <c r="D41" i="42"/>
  <c r="D32" i="42"/>
  <c r="D31" i="42"/>
  <c r="D30" i="42"/>
  <c r="D29" i="42"/>
  <c r="K30" i="35"/>
  <c r="K31" i="35"/>
  <c r="K32" i="35"/>
  <c r="K33" i="35"/>
  <c r="L148" i="29"/>
  <c r="M148" i="29"/>
  <c r="N148" i="29"/>
  <c r="O148" i="29"/>
  <c r="P148" i="29"/>
  <c r="Q148" i="29"/>
  <c r="R148" i="29"/>
  <c r="S148" i="29"/>
  <c r="L149" i="29"/>
  <c r="M149" i="29"/>
  <c r="N149" i="29"/>
  <c r="O149" i="29"/>
  <c r="P149" i="29"/>
  <c r="Q149" i="29"/>
  <c r="R149" i="29"/>
  <c r="S149" i="29"/>
  <c r="L150" i="29"/>
  <c r="M150" i="29"/>
  <c r="N150" i="29"/>
  <c r="O150" i="29"/>
  <c r="P150" i="29"/>
  <c r="Q150" i="29"/>
  <c r="R150" i="29"/>
  <c r="S150" i="29"/>
  <c r="L151" i="29"/>
  <c r="M151" i="29"/>
  <c r="N151" i="29"/>
  <c r="O151" i="29"/>
  <c r="P151" i="29"/>
  <c r="Q151" i="29"/>
  <c r="R151" i="29"/>
  <c r="S151" i="29"/>
  <c r="L152" i="29"/>
  <c r="M152" i="29"/>
  <c r="N152" i="29"/>
  <c r="O152" i="29"/>
  <c r="P152" i="29"/>
  <c r="Q152" i="29"/>
  <c r="R152" i="29"/>
  <c r="S152" i="29"/>
  <c r="M147" i="29"/>
  <c r="N147" i="29"/>
  <c r="O147" i="29"/>
  <c r="P147" i="29"/>
  <c r="Q147" i="29"/>
  <c r="R147" i="29"/>
  <c r="S147" i="29"/>
  <c r="F149" i="29"/>
  <c r="F151" i="29"/>
  <c r="F147" i="29"/>
  <c r="E149" i="29"/>
  <c r="E151" i="29"/>
  <c r="E147" i="29"/>
  <c r="B149" i="29"/>
  <c r="B151" i="29"/>
  <c r="B147" i="29"/>
  <c r="B32" i="29"/>
  <c r="D38" i="29"/>
  <c r="C38" i="29"/>
  <c r="B31" i="29"/>
  <c r="H29" i="30"/>
  <c r="H28" i="30"/>
  <c r="H27" i="30"/>
  <c r="D24" i="42"/>
  <c r="D23" i="42"/>
  <c r="D22" i="42"/>
  <c r="D21" i="42"/>
  <c r="D20" i="42"/>
  <c r="D19" i="42"/>
  <c r="D14" i="42"/>
  <c r="D13" i="42"/>
  <c r="D12" i="42"/>
  <c r="B26" i="45"/>
  <c r="B24" i="45"/>
  <c r="B23" i="45"/>
  <c r="B22" i="45"/>
  <c r="B21" i="45"/>
  <c r="B20" i="45"/>
  <c r="B12" i="45"/>
  <c r="B10" i="45"/>
  <c r="B9" i="45"/>
  <c r="B8" i="45"/>
  <c r="B4" i="37"/>
  <c r="B4" i="35"/>
  <c r="B4" i="30"/>
  <c r="G12" i="27"/>
  <c r="H4" i="1"/>
  <c r="K152" i="29"/>
  <c r="K151" i="29"/>
  <c r="K150" i="29"/>
  <c r="K149" i="29"/>
  <c r="K148" i="29"/>
  <c r="K147" i="29"/>
  <c r="K27" i="30"/>
  <c r="J27" i="30"/>
  <c r="J28" i="30"/>
  <c r="K29" i="30"/>
  <c r="J29" i="30"/>
  <c r="E56" i="29"/>
  <c r="B4" i="39"/>
  <c r="D5" i="39"/>
  <c r="E4" i="39"/>
  <c r="K5" i="39"/>
  <c r="J4" i="39"/>
  <c r="L3" i="39"/>
  <c r="J3" i="39"/>
  <c r="L5" i="42"/>
  <c r="L4" i="42"/>
  <c r="E5" i="42"/>
  <c r="E4" i="42"/>
  <c r="B4" i="42"/>
  <c r="M3" i="42"/>
  <c r="L3" i="42"/>
  <c r="E4" i="37"/>
  <c r="Q3" i="37"/>
  <c r="H30" i="35"/>
  <c r="I33" i="35"/>
  <c r="I32" i="35"/>
  <c r="I31" i="35"/>
  <c r="I30" i="35"/>
  <c r="B26" i="35"/>
  <c r="B13" i="27"/>
  <c r="B11" i="27"/>
  <c r="G10" i="27"/>
  <c r="D9" i="27"/>
  <c r="F6" i="27"/>
  <c r="C103" i="29"/>
  <c r="D103" i="29"/>
  <c r="E103" i="29" s="1"/>
  <c r="F103" i="29" s="1"/>
  <c r="G103" i="29" s="1"/>
  <c r="H103" i="29" s="1"/>
  <c r="I103" i="29" s="1"/>
  <c r="J103" i="29" s="1"/>
  <c r="K103" i="29" s="1"/>
  <c r="L103" i="29" s="1"/>
  <c r="M103" i="29" s="1"/>
  <c r="N103" i="29" s="1"/>
  <c r="D5" i="35"/>
  <c r="E4" i="35"/>
  <c r="K5" i="35"/>
  <c r="J4" i="35"/>
  <c r="D5" i="37"/>
  <c r="P5" i="37"/>
  <c r="P4" i="37"/>
  <c r="O3" i="37"/>
  <c r="J5" i="30"/>
  <c r="D5" i="30"/>
  <c r="I4" i="30"/>
  <c r="E4" i="30"/>
  <c r="L8" i="37"/>
  <c r="F8" i="37"/>
  <c r="B8" i="37"/>
  <c r="L147" i="29"/>
  <c r="J152" i="29"/>
  <c r="J151" i="29"/>
  <c r="J150" i="29"/>
  <c r="J149" i="29"/>
  <c r="J148" i="29"/>
  <c r="J147" i="29"/>
  <c r="I152" i="29"/>
  <c r="I151" i="29"/>
  <c r="I150" i="29"/>
  <c r="I149" i="29"/>
  <c r="I148" i="29"/>
  <c r="I147" i="29"/>
  <c r="H152" i="29"/>
  <c r="H151" i="29"/>
  <c r="H150" i="29"/>
  <c r="H149" i="29"/>
  <c r="H148" i="29"/>
  <c r="H147" i="29"/>
  <c r="B26" i="37"/>
  <c r="B25" i="37"/>
  <c r="B24" i="37"/>
  <c r="B23" i="37"/>
  <c r="S146" i="29"/>
  <c r="R146" i="29"/>
  <c r="Q146" i="29"/>
  <c r="P146" i="29"/>
  <c r="O146" i="29"/>
  <c r="B22" i="37"/>
  <c r="B21" i="37"/>
  <c r="B20" i="37"/>
  <c r="E59" i="29"/>
  <c r="N146" i="29"/>
  <c r="M146" i="29"/>
  <c r="L146" i="29"/>
  <c r="K146" i="29"/>
  <c r="J146" i="29"/>
  <c r="I146" i="29"/>
  <c r="H146" i="29"/>
  <c r="B36" i="39"/>
  <c r="B34" i="39"/>
  <c r="E58" i="29"/>
  <c r="B34" i="35"/>
  <c r="Z24" i="37"/>
  <c r="AA24" i="37"/>
  <c r="AD24" i="37"/>
  <c r="Z23" i="37"/>
  <c r="AA23" i="37"/>
  <c r="AF23" i="37"/>
  <c r="Z22" i="37"/>
  <c r="AA22" i="37"/>
  <c r="AC22" i="37"/>
  <c r="AE22" i="37"/>
  <c r="AF21" i="37"/>
  <c r="AE21" i="37"/>
  <c r="AD21" i="37"/>
  <c r="AC21" i="37"/>
  <c r="AB21" i="37"/>
  <c r="E20" i="42"/>
  <c r="F20" i="42"/>
  <c r="T21" i="37"/>
  <c r="U21" i="37"/>
  <c r="V21" i="37"/>
  <c r="W21" i="37"/>
  <c r="X21" i="37"/>
  <c r="T22" i="37"/>
  <c r="U22" i="37"/>
  <c r="V22" i="37"/>
  <c r="W22" i="37"/>
  <c r="X22" i="37"/>
  <c r="T23" i="37"/>
  <c r="U23" i="37"/>
  <c r="V23" i="37"/>
  <c r="W23" i="37"/>
  <c r="X23" i="37"/>
  <c r="T24" i="37"/>
  <c r="U24" i="37"/>
  <c r="V24" i="37"/>
  <c r="W24" i="37"/>
  <c r="X24" i="37"/>
  <c r="T25" i="37"/>
  <c r="U25" i="37"/>
  <c r="V25" i="37"/>
  <c r="W25" i="37"/>
  <c r="X25" i="37"/>
  <c r="U28" i="37"/>
  <c r="T26" i="37"/>
  <c r="U26" i="37"/>
  <c r="V26" i="37"/>
  <c r="W26" i="37"/>
  <c r="X26" i="37"/>
  <c r="T29" i="37"/>
  <c r="T27" i="37"/>
  <c r="U27" i="37"/>
  <c r="V27" i="37"/>
  <c r="W27" i="37"/>
  <c r="X27" i="37"/>
  <c r="B28" i="37"/>
  <c r="T28" i="37"/>
  <c r="V28" i="37"/>
  <c r="X28" i="37"/>
  <c r="T31" i="37"/>
  <c r="U29" i="37"/>
  <c r="W29" i="37"/>
  <c r="T30" i="37"/>
  <c r="U30" i="37"/>
  <c r="V30" i="37"/>
  <c r="W30" i="37"/>
  <c r="X30" i="37"/>
  <c r="U31" i="37"/>
  <c r="W31" i="37"/>
  <c r="T32" i="37"/>
  <c r="U32" i="37"/>
  <c r="V32" i="37"/>
  <c r="W32" i="37"/>
  <c r="X32" i="37"/>
  <c r="T33" i="37"/>
  <c r="U33" i="37"/>
  <c r="V33" i="37"/>
  <c r="W33" i="37"/>
  <c r="X33" i="37"/>
  <c r="X31" i="37"/>
  <c r="V31" i="37"/>
  <c r="X29" i="37"/>
  <c r="V29" i="37"/>
  <c r="W28" i="37"/>
  <c r="G29" i="37"/>
  <c r="AD22" i="37"/>
  <c r="AB22" i="37"/>
  <c r="AB24" i="37"/>
  <c r="AE24" i="37"/>
  <c r="AC24" i="37"/>
  <c r="AF24" i="37"/>
  <c r="AB23" i="37"/>
  <c r="I33" i="29"/>
  <c r="R35" i="29" s="1"/>
  <c r="J33" i="29"/>
  <c r="R53" i="29" s="1"/>
  <c r="K33" i="29"/>
  <c r="R54" i="29" s="1"/>
  <c r="L33" i="29"/>
  <c r="L35" i="29" s="1"/>
  <c r="M33" i="29"/>
  <c r="Q55" i="29" s="1"/>
  <c r="N33" i="29"/>
  <c r="N35" i="29" s="1"/>
  <c r="AC23" i="37"/>
  <c r="AE23" i="37"/>
  <c r="AD23" i="37"/>
  <c r="AF22" i="37"/>
  <c r="E33" i="29" l="1"/>
  <c r="R31" i="29" s="1"/>
  <c r="D57" i="29"/>
  <c r="E57" i="29" s="1"/>
  <c r="D54" i="29"/>
  <c r="D53" i="29"/>
  <c r="E42" i="29"/>
  <c r="E47" i="29"/>
  <c r="E41" i="29"/>
  <c r="C54" i="29"/>
  <c r="E43" i="29"/>
  <c r="E40" i="29"/>
  <c r="E48" i="29"/>
  <c r="E44" i="29"/>
  <c r="E45" i="29"/>
  <c r="E46" i="29"/>
  <c r="E39" i="29"/>
  <c r="B2" i="39"/>
  <c r="F33" i="29"/>
  <c r="R32" i="29" s="1"/>
  <c r="J31" i="35"/>
  <c r="K113" i="29"/>
  <c r="L31" i="35" s="1"/>
  <c r="K114" i="29"/>
  <c r="L32" i="35" s="1"/>
  <c r="J32" i="35"/>
  <c r="K112" i="29"/>
  <c r="L30" i="35" s="1"/>
  <c r="J30" i="35"/>
  <c r="K115" i="29"/>
  <c r="L33" i="35" s="1"/>
  <c r="J33" i="35"/>
  <c r="B7" i="35"/>
  <c r="B2" i="1"/>
  <c r="H8" i="30"/>
  <c r="F35" i="29"/>
  <c r="I35" i="29"/>
  <c r="E35" i="29"/>
  <c r="R30" i="29"/>
  <c r="J35" i="29"/>
  <c r="B2" i="30"/>
  <c r="B8" i="30"/>
  <c r="B15" i="35"/>
  <c r="B2" i="42"/>
  <c r="B2" i="45"/>
  <c r="B2" i="35"/>
  <c r="B3" i="32"/>
  <c r="H26" i="35"/>
  <c r="H15" i="35"/>
  <c r="H7" i="35"/>
  <c r="B22" i="30"/>
  <c r="H22" i="30"/>
  <c r="G35" i="29"/>
  <c r="G21" i="37"/>
  <c r="G22" i="37"/>
  <c r="G27" i="37"/>
  <c r="G26" i="37"/>
  <c r="F51" i="29"/>
  <c r="H35" i="29"/>
  <c r="R34" i="29"/>
  <c r="R33" i="29"/>
  <c r="C35" i="29"/>
  <c r="M35" i="29"/>
  <c r="K35" i="29"/>
  <c r="G23" i="37"/>
  <c r="G28" i="37"/>
  <c r="G24" i="37"/>
  <c r="G20" i="37"/>
  <c r="G25" i="37"/>
</calcChain>
</file>

<file path=xl/comments1.xml><?xml version="1.0" encoding="utf-8"?>
<comments xmlns="http://schemas.openxmlformats.org/spreadsheetml/2006/main">
  <authors>
    <author>mgleixner</author>
    <author>molszak</author>
  </authors>
  <commentList>
    <comment ref="B30" authorId="0" shapeId="0">
      <text>
        <r>
          <rPr>
            <sz val="8"/>
            <color indexed="81"/>
            <rFont val="Tahoma"/>
            <family val="2"/>
          </rPr>
          <t>To define your periods (eg. P1, P2, P3 etc or P9, P10, P11 etc) you need to unprotect the cells.</t>
        </r>
      </text>
    </comment>
    <comment ref="B76" authorId="1" shapeId="0">
      <text>
        <r>
          <rPr>
            <b/>
            <sz val="8"/>
            <color indexed="81"/>
            <rFont val="Tahoma"/>
            <family val="2"/>
          </rPr>
          <t xml:space="preserve">If data are not available, do not enter zeros; rather, leave the cells in the table blank. </t>
        </r>
      </text>
    </comment>
    <comment ref="B77" authorId="1" shapeId="0">
      <text>
        <r>
          <rPr>
            <b/>
            <sz val="8"/>
            <color indexed="81"/>
            <rFont val="Tahoma"/>
            <family val="2"/>
          </rPr>
          <t>If data are not available, do not enter zeros; rather, leave the cells in this table blank.</t>
        </r>
      </text>
    </comment>
    <comment ref="B83" authorId="0" shapeId="0">
      <text>
        <r>
          <rPr>
            <sz val="8"/>
            <color indexed="81"/>
            <rFont val="Tahoma"/>
            <family val="2"/>
          </rPr>
          <t xml:space="preserve">If data are not available, do not enter zeros; rather, leave the cells in this table blank. </t>
        </r>
      </text>
    </comment>
    <comment ref="B98" authorId="0" shapeId="0">
      <text>
        <r>
          <rPr>
            <sz val="8"/>
            <color indexed="81"/>
            <rFont val="Tahoma"/>
            <family val="2"/>
          </rPr>
          <t>To define your periods (eg. P1, P2, P3 etc or P9, P10, P11 etc) you need to unprotect the cells.</t>
        </r>
      </text>
    </comment>
  </commentList>
</comments>
</file>

<file path=xl/sharedStrings.xml><?xml version="1.0" encoding="utf-8"?>
<sst xmlns="http://schemas.openxmlformats.org/spreadsheetml/2006/main" count="648" uniqueCount="517">
  <si>
    <r>
      <t>Days taken for disbursement to reach SRs</t>
    </r>
    <r>
      <rPr>
        <sz val="10"/>
        <color indexed="8"/>
        <rFont val="Arial"/>
        <family val="2"/>
      </rPr>
      <t xml:space="preserve"> – This indicator measures the average number of days for disbursements to be made to all the SRs. 
The expected value for this indicator will be set locally by the PR and SRs, preferably in the Grant Operations Manual. 
The actual value is the average of the number of days from the receipt of the funds from the GF by the PR to the date the funds are received by each SR. Different SRs coudl receive funds on different dates and this indicator is the average across all SRs for the latest disbursement.</t>
    </r>
  </si>
  <si>
    <r>
      <t xml:space="preserve">SR expenditures: Prior to this Reporting period: </t>
    </r>
    <r>
      <rPr>
        <sz val="10"/>
        <color indexed="8"/>
        <rFont val="Arial"/>
        <family val="2"/>
      </rPr>
      <t>The sum of all expenditures reported by the SRs, up to but not including dashboard reporting period.   SR expenditures: Reporting period: The sum of all expenditures reported by the SRs, during dashboard reporting period.</t>
    </r>
  </si>
  <si>
    <r>
      <t>Disbursement by GF: Prior to this Reporting period:</t>
    </r>
    <r>
      <rPr>
        <sz val="10"/>
        <color indexed="8"/>
        <rFont val="Arial"/>
        <family val="2"/>
      </rPr>
      <t xml:space="preserve"> Sum of amounts transferred by the GF to either the PR or paid directly to suppliers (e.g. drugs, equipment, bed nets), up to </t>
    </r>
    <r>
      <rPr>
        <b/>
        <i/>
        <sz val="10"/>
        <color indexed="8"/>
        <rFont val="Arial"/>
        <family val="2"/>
      </rPr>
      <t>but not including</t>
    </r>
    <r>
      <rPr>
        <sz val="10"/>
        <color indexed="8"/>
        <rFont val="Arial"/>
        <family val="2"/>
      </rPr>
      <t xml:space="preserve"> dashboard reporting period. </t>
    </r>
    <r>
      <rPr>
        <b/>
        <sz val="10"/>
        <color indexed="8"/>
        <rFont val="Arial"/>
        <family val="2"/>
      </rPr>
      <t>Disbursement by GF: Reporting period:</t>
    </r>
    <r>
      <rPr>
        <sz val="10"/>
        <color indexed="8"/>
        <rFont val="Arial"/>
        <family val="2"/>
      </rPr>
      <t xml:space="preserve"> Sum of amounts transferred by the GF to either the PR or paid directly to suppliers (e.g. drugs, equipment, bed nets), during dashboard reporting period. 
</t>
    </r>
    <r>
      <rPr>
        <b/>
        <sz val="10"/>
        <color indexed="8"/>
        <rFont val="Arial"/>
        <family val="2"/>
      </rPr>
      <t>PR disbursements and expenditure:</t>
    </r>
    <r>
      <rPr>
        <sz val="10"/>
        <color indexed="8"/>
        <rFont val="Arial"/>
        <family val="2"/>
      </rPr>
      <t xml:space="preserve">  </t>
    </r>
    <r>
      <rPr>
        <b/>
        <sz val="10"/>
        <color indexed="8"/>
        <rFont val="Arial"/>
        <family val="2"/>
      </rPr>
      <t>Prior to this Reporting period:</t>
    </r>
    <r>
      <rPr>
        <sz val="10"/>
        <color indexed="8"/>
        <rFont val="Arial"/>
        <family val="2"/>
      </rPr>
      <t xml:space="preserve"> Total funds reported as being spent by the PR and/or disbursed to the Sub Recipients (SRs) up to </t>
    </r>
    <r>
      <rPr>
        <b/>
        <i/>
        <sz val="10"/>
        <color indexed="8"/>
        <rFont val="Arial"/>
        <family val="2"/>
      </rPr>
      <t xml:space="preserve">but not including </t>
    </r>
    <r>
      <rPr>
        <sz val="10"/>
        <color indexed="8"/>
        <rFont val="Arial"/>
        <family val="2"/>
      </rPr>
      <t>dashboard reporting period.</t>
    </r>
    <r>
      <rPr>
        <b/>
        <sz val="10"/>
        <color indexed="8"/>
        <rFont val="Arial"/>
        <family val="2"/>
      </rPr>
      <t xml:space="preserve"> PR disbursements and expenditure:  Reporting period:</t>
    </r>
    <r>
      <rPr>
        <sz val="10"/>
        <color indexed="8"/>
        <rFont val="Arial"/>
        <family val="2"/>
      </rPr>
      <t xml:space="preserve"> Total funds reported as being spent by the PR and/or disbursed to the Sub Recipients (SRs) during dashboard reporting period.</t>
    </r>
    <r>
      <rPr>
        <b/>
        <sz val="10"/>
        <color indexed="8"/>
        <rFont val="Arial"/>
        <family val="2"/>
      </rPr>
      <t xml:space="preserve">
Disbursements to SRs: Prior to this Reporting period: </t>
    </r>
    <r>
      <rPr>
        <sz val="10"/>
        <color indexed="8"/>
        <rFont val="Arial"/>
        <family val="2"/>
      </rPr>
      <t xml:space="preserve">The total amount transferred by the PR to Sub Recipients (SRs), up to </t>
    </r>
    <r>
      <rPr>
        <b/>
        <i/>
        <sz val="10"/>
        <color indexed="8"/>
        <rFont val="Arial"/>
        <family val="2"/>
      </rPr>
      <t>but not including</t>
    </r>
    <r>
      <rPr>
        <sz val="10"/>
        <color indexed="8"/>
        <rFont val="Arial"/>
        <family val="2"/>
      </rPr>
      <t xml:space="preserve"> dashboard reporting period. </t>
    </r>
    <r>
      <rPr>
        <b/>
        <sz val="10"/>
        <color indexed="8"/>
        <rFont val="Arial"/>
        <family val="2"/>
      </rPr>
      <t xml:space="preserve">Disbursements to SRs:Reporting period: </t>
    </r>
    <r>
      <rPr>
        <sz val="10"/>
        <color indexed="8"/>
        <rFont val="Arial"/>
        <family val="2"/>
      </rPr>
      <t>The total amount transferred by the PR to Sub Recipients (SRs), in dashboard reporting period.</t>
    </r>
  </si>
  <si>
    <r>
      <t xml:space="preserve">Cumulative Budget per Objective:  </t>
    </r>
    <r>
      <rPr>
        <sz val="10"/>
        <color indexed="8"/>
        <rFont val="Arial"/>
        <family val="2"/>
      </rPr>
      <t xml:space="preserve">Sum of the grant budget </t>
    </r>
    <r>
      <rPr>
        <b/>
        <i/>
        <sz val="10"/>
        <color indexed="8"/>
        <rFont val="Arial"/>
        <family val="2"/>
      </rPr>
      <t>by Objective</t>
    </r>
    <r>
      <rPr>
        <sz val="10"/>
        <color indexed="8"/>
        <rFont val="Arial"/>
        <family val="2"/>
      </rPr>
      <t xml:space="preserve">, from period one of the current phase </t>
    </r>
    <r>
      <rPr>
        <b/>
        <i/>
        <sz val="10"/>
        <color indexed="8"/>
        <rFont val="Arial"/>
        <family val="2"/>
      </rPr>
      <t>up to and including</t>
    </r>
    <r>
      <rPr>
        <sz val="10"/>
        <color indexed="8"/>
        <rFont val="Arial"/>
        <family val="2"/>
      </rPr>
      <t xml:space="preserve"> the dashboard reporting period. </t>
    </r>
    <r>
      <rPr>
        <b/>
        <sz val="10"/>
        <color indexed="8"/>
        <rFont val="Arial"/>
        <family val="2"/>
      </rPr>
      <t xml:space="preserve">
Cumulative Expenditure per Objective:</t>
    </r>
    <r>
      <rPr>
        <sz val="10"/>
        <color indexed="8"/>
        <rFont val="Arial"/>
        <family val="2"/>
      </rPr>
      <t xml:space="preserve"> Sum of</t>
    </r>
    <r>
      <rPr>
        <b/>
        <sz val="10"/>
        <color indexed="8"/>
        <rFont val="Arial"/>
        <family val="2"/>
      </rPr>
      <t xml:space="preserve"> </t>
    </r>
    <r>
      <rPr>
        <sz val="10"/>
        <color indexed="8"/>
        <rFont val="Arial"/>
        <family val="2"/>
      </rPr>
      <t xml:space="preserve">amounts spent </t>
    </r>
    <r>
      <rPr>
        <b/>
        <i/>
        <sz val="10"/>
        <color indexed="8"/>
        <rFont val="Arial"/>
        <family val="2"/>
      </rPr>
      <t>by Objective</t>
    </r>
    <r>
      <rPr>
        <sz val="10"/>
        <color indexed="8"/>
        <rFont val="Arial"/>
        <family val="2"/>
      </rPr>
      <t xml:space="preserve"> directly by the PR plus the amounts transferred by the PR to all SRs from the beginning of the phase </t>
    </r>
    <r>
      <rPr>
        <b/>
        <i/>
        <sz val="10"/>
        <color indexed="8"/>
        <rFont val="Arial"/>
        <family val="2"/>
      </rPr>
      <t>up to and including</t>
    </r>
    <r>
      <rPr>
        <sz val="10"/>
        <color indexed="8"/>
        <rFont val="Arial"/>
        <family val="2"/>
      </rPr>
      <t xml:space="preserve"> dashboard reporting period, by Objective.</t>
    </r>
  </si>
  <si>
    <r>
      <t xml:space="preserve">Days taken to submit final PU/DR to LFA – </t>
    </r>
    <r>
      <rPr>
        <sz val="10"/>
        <color indexed="8"/>
        <rFont val="Arial"/>
        <family val="2"/>
      </rPr>
      <t xml:space="preserve">This indicator measures </t>
    </r>
    <r>
      <rPr>
        <b/>
        <sz val="10"/>
        <color indexed="8"/>
        <rFont val="Arial"/>
        <family val="2"/>
      </rPr>
      <t>t</t>
    </r>
    <r>
      <rPr>
        <sz val="10"/>
        <color indexed="8"/>
        <rFont val="Arial"/>
        <family val="2"/>
      </rPr>
      <t xml:space="preserve">he number of calendar days it took the PR to send a final Performance Update and Disbursement Request (PU/DR) to the LFA after the end of the period. A 'final' PU/DR would be one for which the LFA did not require any further clarifications from the PR.
The expected value is 45 days from the end of the period, as defined in the Grant Agreement.  
The actual value is the number of calendar days from the end date of the period to the date on which the PR sent to the LFA the final PU/DR.  </t>
    </r>
    <r>
      <rPr>
        <b/>
        <sz val="10"/>
        <color indexed="8"/>
        <rFont val="Arial"/>
        <family val="2"/>
      </rPr>
      <t xml:space="preserve">
Days taken for disbursement to reach PR – </t>
    </r>
    <r>
      <rPr>
        <sz val="10"/>
        <color indexed="8"/>
        <rFont val="Arial"/>
        <family val="2"/>
      </rPr>
      <t xml:space="preserve">This indicator measures the number of calendar days it took the Global Fund to send the latest disbursement to the PR's account after receipt of the acceptable PU/DR by the LFA. 
The expected number is 45 days. 
The actual number is the number of days from the date of transmission by the PR to the LFA of the acceptable PU/DR to the date the disbursement is received by the PR at its bank.  </t>
    </r>
  </si>
  <si>
    <t>Name</t>
  </si>
  <si>
    <t>Days taken to submit final PU/DR to LFA</t>
  </si>
  <si>
    <t>Information reporting period</t>
  </si>
  <si>
    <t>Enter the data based on the colour-coded cells</t>
  </si>
  <si>
    <t>% Cumulative</t>
  </si>
  <si>
    <t>Obligations cumulative</t>
  </si>
  <si>
    <t>Expenditures cumulative</t>
  </si>
  <si>
    <t xml:space="preserve">Comment: </t>
  </si>
  <si>
    <t>Comment:</t>
  </si>
  <si>
    <t>Programmatic</t>
  </si>
  <si>
    <t>To:</t>
  </si>
  <si>
    <t>Comments:</t>
  </si>
  <si>
    <t xml:space="preserve">Comments: </t>
  </si>
  <si>
    <t>Time Bound Actions (TBAs)</t>
  </si>
  <si>
    <t>Title of the Grant:</t>
  </si>
  <si>
    <t>Start Date:</t>
  </si>
  <si>
    <t>€</t>
  </si>
  <si>
    <t>Round 9</t>
  </si>
  <si>
    <t>Phase 2</t>
  </si>
  <si>
    <t>Round 1</t>
  </si>
  <si>
    <t>Phase 1</t>
  </si>
  <si>
    <t>$</t>
  </si>
  <si>
    <t>Round 2</t>
  </si>
  <si>
    <t>Report Period:</t>
  </si>
  <si>
    <t>to:</t>
  </si>
  <si>
    <t>Round 3</t>
  </si>
  <si>
    <t>RCC</t>
  </si>
  <si>
    <t>Round 4</t>
  </si>
  <si>
    <t>Country:</t>
  </si>
  <si>
    <t>Component:</t>
  </si>
  <si>
    <t>HIV / AIDS</t>
  </si>
  <si>
    <t>Latest Rating:</t>
  </si>
  <si>
    <t>Report preparation date:</t>
  </si>
  <si>
    <t>Local Fund Agent:</t>
  </si>
  <si>
    <t>Prepared by:</t>
  </si>
  <si>
    <t>Component</t>
  </si>
  <si>
    <t>MALARIA</t>
  </si>
  <si>
    <t>TB</t>
  </si>
  <si>
    <t>Currency</t>
  </si>
  <si>
    <t>Round</t>
  </si>
  <si>
    <t>Round 5</t>
  </si>
  <si>
    <t>Round 6</t>
  </si>
  <si>
    <t>Round 7</t>
  </si>
  <si>
    <t>Round 8</t>
  </si>
  <si>
    <t>Phase</t>
  </si>
  <si>
    <t>Raiting</t>
  </si>
  <si>
    <t>A1</t>
  </si>
  <si>
    <t>A2</t>
  </si>
  <si>
    <t>B1</t>
  </si>
  <si>
    <t>B2</t>
  </si>
  <si>
    <t>C</t>
  </si>
  <si>
    <t>CA (Crown Agents)</t>
  </si>
  <si>
    <t>DEL (Deloitte)</t>
  </si>
  <si>
    <t>DTT (DTT Emerging Markets)</t>
  </si>
  <si>
    <t>FIN (Finconsult)</t>
  </si>
  <si>
    <t>GT (Grant Thornton)</t>
  </si>
  <si>
    <t>H-C (Hodar-Conseil)</t>
  </si>
  <si>
    <t>KPMG (KPMG)</t>
  </si>
  <si>
    <t>MSCI (MSCI)</t>
  </si>
  <si>
    <t>PwC (PricewaterhouseCoopers)</t>
  </si>
  <si>
    <t xml:space="preserve">STI (Swiss Tropical Institute), </t>
  </si>
  <si>
    <t>Total</t>
  </si>
  <si>
    <t>Expected (days)</t>
  </si>
  <si>
    <t>Actual (days)</t>
  </si>
  <si>
    <t>Financial Indicators</t>
  </si>
  <si>
    <t>Planned</t>
  </si>
  <si>
    <t>Vacant</t>
  </si>
  <si>
    <t>#  Expected</t>
  </si>
  <si>
    <t># Received</t>
  </si>
  <si>
    <t>Assessed</t>
  </si>
  <si>
    <t>Signed</t>
  </si>
  <si>
    <t>Management Indicators</t>
  </si>
  <si>
    <t>NVP</t>
  </si>
  <si>
    <t>3TC</t>
  </si>
  <si>
    <t>D4T</t>
  </si>
  <si>
    <t>AZT</t>
  </si>
  <si>
    <t>DDI</t>
  </si>
  <si>
    <t>EFV</t>
  </si>
  <si>
    <t>AS/MQ</t>
  </si>
  <si>
    <t>AS/LF</t>
  </si>
  <si>
    <t>AS/AQ</t>
  </si>
  <si>
    <t>Products</t>
  </si>
  <si>
    <t>Peru</t>
  </si>
  <si>
    <t>Filled</t>
  </si>
  <si>
    <t>Approved</t>
  </si>
  <si>
    <t>HIVAIDS / TB</t>
  </si>
  <si>
    <t>HSS</t>
  </si>
  <si>
    <t>Target</t>
  </si>
  <si>
    <t xml:space="preserve">Achieved </t>
  </si>
  <si>
    <t>Medicaments</t>
  </si>
  <si>
    <t>Indicators</t>
  </si>
  <si>
    <t>Achieved</t>
  </si>
  <si>
    <t>min</t>
  </si>
  <si>
    <t>max</t>
  </si>
  <si>
    <t>Comments</t>
  </si>
  <si>
    <t xml:space="preserve">Financial </t>
  </si>
  <si>
    <t>Management</t>
  </si>
  <si>
    <t>What is the overall status of this grant implementation?</t>
  </si>
  <si>
    <t>Due Date</t>
  </si>
  <si>
    <t>Summary Comments</t>
  </si>
  <si>
    <t>Are all funds reaching implementation levels and being spent according to budget?</t>
  </si>
  <si>
    <t>Are technical targets being achieved?</t>
  </si>
  <si>
    <t>Are procurement and hiring on schedule?</t>
  </si>
  <si>
    <t>F1</t>
  </si>
  <si>
    <t>F2</t>
  </si>
  <si>
    <t>F3</t>
  </si>
  <si>
    <t>F4</t>
  </si>
  <si>
    <t>P1</t>
  </si>
  <si>
    <t>P2</t>
  </si>
  <si>
    <t>P3</t>
  </si>
  <si>
    <t>P4</t>
  </si>
  <si>
    <t>M1</t>
  </si>
  <si>
    <t>M2</t>
  </si>
  <si>
    <t>M3</t>
  </si>
  <si>
    <t>M4</t>
  </si>
  <si>
    <t>M5</t>
  </si>
  <si>
    <t>M6</t>
  </si>
  <si>
    <t>Grant No.:</t>
  </si>
  <si>
    <t>Fulfilled</t>
  </si>
  <si>
    <t>Not fulfilled, and past the deadline</t>
  </si>
  <si>
    <t>Receiving Funding</t>
  </si>
  <si>
    <t>P5</t>
  </si>
  <si>
    <t>P6</t>
  </si>
  <si>
    <t>P7</t>
  </si>
  <si>
    <t>P8</t>
  </si>
  <si>
    <t>P9</t>
  </si>
  <si>
    <t>P10</t>
  </si>
  <si>
    <t>P11</t>
  </si>
  <si>
    <t>SRs</t>
  </si>
  <si>
    <t>CCM Decision</t>
  </si>
  <si>
    <t>Countries</t>
  </si>
  <si>
    <t>Afghanistan</t>
  </si>
  <si>
    <t>Albania</t>
  </si>
  <si>
    <t>Algeria</t>
  </si>
  <si>
    <t>Angola</t>
  </si>
  <si>
    <t>Argentina</t>
  </si>
  <si>
    <t>Armenia</t>
  </si>
  <si>
    <t>Azerbaijan</t>
  </si>
  <si>
    <t>Bangladesh</t>
  </si>
  <si>
    <t>Belarus</t>
  </si>
  <si>
    <t>Belize</t>
  </si>
  <si>
    <t>Benin</t>
  </si>
  <si>
    <t>Bhutan</t>
  </si>
  <si>
    <t>Bolivia</t>
  </si>
  <si>
    <t>Bosnia and Herzegovina</t>
  </si>
  <si>
    <t>Botswana</t>
  </si>
  <si>
    <t>Brazil</t>
  </si>
  <si>
    <t>Bulgaria</t>
  </si>
  <si>
    <t>Burkina Faso</t>
  </si>
  <si>
    <t>Burundi</t>
  </si>
  <si>
    <t>Cambodia</t>
  </si>
  <si>
    <t>Cameroon</t>
  </si>
  <si>
    <t>Cape Verde</t>
  </si>
  <si>
    <t>Central African Republic</t>
  </si>
  <si>
    <t>Chad</t>
  </si>
  <si>
    <t>Chile</t>
  </si>
  <si>
    <t>China</t>
  </si>
  <si>
    <t>Colombia</t>
  </si>
  <si>
    <t>Comoros</t>
  </si>
  <si>
    <t>Congo (Democratic Republic of the)</t>
  </si>
  <si>
    <t>Congo (Republic of the)</t>
  </si>
  <si>
    <t>Costa Rica</t>
  </si>
  <si>
    <t>Cote d'Ivoire</t>
  </si>
  <si>
    <t>Croatia</t>
  </si>
  <si>
    <t>Cuba</t>
  </si>
  <si>
    <t>Djibouti</t>
  </si>
  <si>
    <t>Dominican Republic</t>
  </si>
  <si>
    <t>Ecuador</t>
  </si>
  <si>
    <t>Egypt</t>
  </si>
  <si>
    <t>El Salvador</t>
  </si>
  <si>
    <t>Equatorial Guinea</t>
  </si>
  <si>
    <t>Eritrea</t>
  </si>
  <si>
    <t>Estonia</t>
  </si>
  <si>
    <t>Ethiopia</t>
  </si>
  <si>
    <t>Fiji</t>
  </si>
  <si>
    <t>Gabon</t>
  </si>
  <si>
    <t>Gambia</t>
  </si>
  <si>
    <t>Georgia</t>
  </si>
  <si>
    <t>Ghana</t>
  </si>
  <si>
    <t>Global(LWF)</t>
  </si>
  <si>
    <t>Guatemala</t>
  </si>
  <si>
    <t>Guinea</t>
  </si>
  <si>
    <t>Guinea-Bissau</t>
  </si>
  <si>
    <t>Guyana</t>
  </si>
  <si>
    <t>Haiti</t>
  </si>
  <si>
    <t>Honduras</t>
  </si>
  <si>
    <t>India</t>
  </si>
  <si>
    <t>Indonesia</t>
  </si>
  <si>
    <t>Iran (Islamic Republic of)</t>
  </si>
  <si>
    <t>Iraq</t>
  </si>
  <si>
    <t>Jamaica</t>
  </si>
  <si>
    <t>Jordan</t>
  </si>
  <si>
    <t>Kazakhstan</t>
  </si>
  <si>
    <t>Kenya</t>
  </si>
  <si>
    <t>Korea, Democratic Peoples Republic of</t>
  </si>
  <si>
    <t>Kosovo (Serbia)</t>
  </si>
  <si>
    <t>Kyrgyzstan</t>
  </si>
  <si>
    <t>Lao PDR</t>
  </si>
  <si>
    <t>Lesotho</t>
  </si>
  <si>
    <t>Liberia</t>
  </si>
  <si>
    <t>Macedonia, FYR</t>
  </si>
  <si>
    <t>Madagascar</t>
  </si>
  <si>
    <t>Malawi</t>
  </si>
  <si>
    <t>Maldives</t>
  </si>
  <si>
    <t>Mali</t>
  </si>
  <si>
    <t>Mauritania</t>
  </si>
  <si>
    <t>Mauritius</t>
  </si>
  <si>
    <t>Moldova</t>
  </si>
  <si>
    <t>Mongolia</t>
  </si>
  <si>
    <t>Montenegro</t>
  </si>
  <si>
    <t>Morocco</t>
  </si>
  <si>
    <t>Mozambique</t>
  </si>
  <si>
    <t>Multi-country Africa (West Africa Corridor Program)</t>
  </si>
  <si>
    <t>Multi-country Africa(RMCC)</t>
  </si>
  <si>
    <t>Multi-country Americas (Andean)</t>
  </si>
  <si>
    <t>Multi-country Americas (CARICOM)</t>
  </si>
  <si>
    <t>Multi-country Americas (CRN+)</t>
  </si>
  <si>
    <t>Multi-country Americas (Meso)</t>
  </si>
  <si>
    <t>Multi-country Americas (OECS)</t>
  </si>
  <si>
    <t>Multi-country Americas (REDCA+)</t>
  </si>
  <si>
    <t>Multi-country Western Pacific</t>
  </si>
  <si>
    <t>Myanmar</t>
  </si>
  <si>
    <t>Namibia</t>
  </si>
  <si>
    <t>Nepal</t>
  </si>
  <si>
    <t>Nicaragua</t>
  </si>
  <si>
    <t>Niger</t>
  </si>
  <si>
    <t>Nigeria</t>
  </si>
  <si>
    <t>Pakistan</t>
  </si>
  <si>
    <t>Panama</t>
  </si>
  <si>
    <t>Papua New Guinea</t>
  </si>
  <si>
    <t>Paraguay</t>
  </si>
  <si>
    <t>Philippines</t>
  </si>
  <si>
    <t>Romania</t>
  </si>
  <si>
    <t>Russian Federation</t>
  </si>
  <si>
    <t>Rwanda</t>
  </si>
  <si>
    <t>Sao Tome and Principe</t>
  </si>
  <si>
    <t>Senegal</t>
  </si>
  <si>
    <t>Serbia</t>
  </si>
  <si>
    <t>Sierra Leone</t>
  </si>
  <si>
    <t>Solomon Islands</t>
  </si>
  <si>
    <t>Somalia</t>
  </si>
  <si>
    <t>South Africa</t>
  </si>
  <si>
    <t>Sri Lanka</t>
  </si>
  <si>
    <t>Sudan</t>
  </si>
  <si>
    <t>Suriname</t>
  </si>
  <si>
    <t>Swaziland</t>
  </si>
  <si>
    <t>Syrian Arab Republic</t>
  </si>
  <si>
    <t>Tajikistan</t>
  </si>
  <si>
    <t>Tanzania</t>
  </si>
  <si>
    <t>Thailand</t>
  </si>
  <si>
    <t>Timor-Leste</t>
  </si>
  <si>
    <t>Togo</t>
  </si>
  <si>
    <t>Tunisia</t>
  </si>
  <si>
    <t>Turkey</t>
  </si>
  <si>
    <t>Uganda</t>
  </si>
  <si>
    <t>Ukraine</t>
  </si>
  <si>
    <t>UN Theme Group on HIV/AIDS (West Bank and Gaza)</t>
  </si>
  <si>
    <t>Uzbekistan</t>
  </si>
  <si>
    <t>Viet Nam</t>
  </si>
  <si>
    <t>Yemen</t>
  </si>
  <si>
    <t>Zambia</t>
  </si>
  <si>
    <t>Zanzibar (Tanzania)</t>
  </si>
  <si>
    <t>Zimbabwe</t>
  </si>
  <si>
    <t>UNOPS</t>
  </si>
  <si>
    <t>Management Information:</t>
  </si>
  <si>
    <t>Valor</t>
  </si>
  <si>
    <t>Rating</t>
  </si>
  <si>
    <t>from:</t>
  </si>
  <si>
    <t>Reporting period</t>
  </si>
  <si>
    <t>Principal Recipient:</t>
  </si>
  <si>
    <t>Disbursed to SRs</t>
  </si>
  <si>
    <t>SR expenditures</t>
  </si>
  <si>
    <t>RDT</t>
  </si>
  <si>
    <t>Name:</t>
  </si>
  <si>
    <t>Definition</t>
  </si>
  <si>
    <t>Measurement</t>
  </si>
  <si>
    <t>Data Source</t>
  </si>
  <si>
    <t>Currency of the grant ($ or Euro)</t>
  </si>
  <si>
    <t>PR, LFA, GF emails and records;  bank notification document or the notice of receipt by the PR to GF; SR reports to PR based on bank records</t>
  </si>
  <si>
    <t>PR records</t>
  </si>
  <si>
    <t>Number, in current reporting period</t>
  </si>
  <si>
    <t>PR and SR records</t>
  </si>
  <si>
    <t>Grant agreement approved budget (for categories 4 and 5 of Enhanced Finance Reporting in current phase); and PR financial data (for expenditures), and/or PSM unit (for orders placed and funding committed or obligated).</t>
  </si>
  <si>
    <t>Financial information</t>
  </si>
  <si>
    <t>Management Information</t>
  </si>
  <si>
    <t>Performance Framework</t>
  </si>
  <si>
    <t>Period</t>
  </si>
  <si>
    <t>P12</t>
  </si>
  <si>
    <t>Pending</t>
  </si>
  <si>
    <t>Fund Portfolio Manager:</t>
  </si>
  <si>
    <t>Identified</t>
  </si>
  <si>
    <t>Person Responsible</t>
  </si>
  <si>
    <t>LFA</t>
  </si>
  <si>
    <t xml:space="preserve">Date </t>
  </si>
  <si>
    <t>Not fulfilled, but within deadline</t>
  </si>
  <si>
    <t>Programmatic Indicators (from Performance Framework)</t>
  </si>
  <si>
    <t>Indicator Number: Name (Perf Framework No.)</t>
  </si>
  <si>
    <t>Isoniazid</t>
  </si>
  <si>
    <t>Ethambutol</t>
  </si>
  <si>
    <t>Rifampicin</t>
  </si>
  <si>
    <t>Pyrazimamide</t>
  </si>
  <si>
    <t xml:space="preserve">     Enter management data in every blue cell.</t>
  </si>
  <si>
    <t>Key Recommendations from Oversight Group(s)</t>
  </si>
  <si>
    <t>Current  Reporting  Period</t>
  </si>
  <si>
    <t>Previous  Reporting  Period</t>
  </si>
  <si>
    <t xml:space="preserve">Last fund disbursement: Calendar days </t>
  </si>
  <si>
    <t>E-PAP</t>
  </si>
  <si>
    <t>Al/Lum</t>
  </si>
  <si>
    <t>Disbursed by Global Fund</t>
  </si>
  <si>
    <t>Expenditures</t>
  </si>
  <si>
    <t>TB nutri'l supplements</t>
  </si>
  <si>
    <t>Recommendations</t>
  </si>
  <si>
    <t>Set-up = List of validation for Grant Detail page</t>
  </si>
  <si>
    <t>Action Taken</t>
  </si>
  <si>
    <t>Phase:</t>
  </si>
  <si>
    <t>Round:</t>
  </si>
  <si>
    <t>From:</t>
  </si>
  <si>
    <t>Date of entry  of information:</t>
  </si>
  <si>
    <t xml:space="preserve">     Enter finance data in every orange cell like this.</t>
  </si>
  <si>
    <t>Code</t>
  </si>
  <si>
    <t>Grant No.</t>
  </si>
  <si>
    <t>Difference between current stock and safety stock</t>
  </si>
  <si>
    <t>Months of safety stock</t>
  </si>
  <si>
    <t>0% - 59%</t>
  </si>
  <si>
    <t>60% - 89%</t>
  </si>
  <si>
    <t>Actions to Implement / Previous Period</t>
  </si>
  <si>
    <t xml:space="preserve">(7)
Level of safety stock
(expressed in months and defined by country) </t>
  </si>
  <si>
    <t>Stock level expressed in months of treatment for all current patients</t>
  </si>
  <si>
    <t>Directly Tied?</t>
  </si>
  <si>
    <t>Indicator</t>
  </si>
  <si>
    <t xml:space="preserve">Last fund disbursement: Number of calendar days </t>
  </si>
  <si>
    <t>Data Sources</t>
  </si>
  <si>
    <t>Currency of the grant ($ or Euro) Cumulative  – Figures refer to budget and disbursements for all the periods of the phase up to and including the dashboard reporting period</t>
  </si>
  <si>
    <t>PU/DR; PR data: SR reports to PR</t>
  </si>
  <si>
    <t>• Cumulative  – Figures refer to budget, disbursements or expenditure for all the periods of the phase up to and including the dashboard reporting period.</t>
  </si>
  <si>
    <t>Number, cumulative to the dashboard reporting period. Number of fulfilled CPs and/or TBAs plus unfulfilled CPs and/or TBAs should equal the total number set by the Global Fund on the grant</t>
  </si>
  <si>
    <t>PR records; Grant Performance Reports;</t>
  </si>
  <si>
    <t>Number, cumulative to the reporting period. A SR is an institution or program with its own workplan, budget and performance targets.</t>
  </si>
  <si>
    <t>PR records; Sub-agreements/MOUs; CCM records</t>
  </si>
  <si>
    <t>Number of months</t>
  </si>
  <si>
    <t>Information on indicators</t>
  </si>
  <si>
    <t>Days taken for disbursement to reach PR</t>
  </si>
  <si>
    <t xml:space="preserve">Days taken for disbursement to reach SRs </t>
  </si>
  <si>
    <t>Obligations</t>
  </si>
  <si>
    <t>PR records: Warehouse data.</t>
  </si>
  <si>
    <t>Budget Approved*</t>
  </si>
  <si>
    <t>Round 10</t>
  </si>
  <si>
    <t>Currency of the grant</t>
  </si>
  <si>
    <t xml:space="preserve">     Enter performance data in every yellow cell.</t>
  </si>
  <si>
    <t>Decisions and Actions</t>
  </si>
  <si>
    <t>Please Select</t>
  </si>
  <si>
    <t>Grant information</t>
  </si>
  <si>
    <t>TOP 3</t>
  </si>
  <si>
    <t>Prior to reporting period</t>
  </si>
  <si>
    <t>Current reporting period</t>
  </si>
  <si>
    <t>F3: Disbursements and expenditures</t>
  </si>
  <si>
    <t>F1: Budget and disbursements by Global Fund</t>
  </si>
  <si>
    <t>F4: Latest PR reporting and disbursement cycle</t>
  </si>
  <si>
    <t>M1: Status of Conditions Precedent (CPs) and Time Bound Actions (TBAs)</t>
  </si>
  <si>
    <t>M2: Status of key PR management positions</t>
  </si>
  <si>
    <t>M6: Difference between current and safety stock</t>
  </si>
  <si>
    <t>Cumulative budget</t>
  </si>
  <si>
    <t>Cumulative disbursements</t>
  </si>
  <si>
    <t xml:space="preserve">M3: Contractual arrangements (SRs) </t>
  </si>
  <si>
    <t>SSR to SR</t>
  </si>
  <si>
    <t>SRs to PR</t>
  </si>
  <si>
    <t>M5: Budget and Procurement of health products, health equipment, medicines and pharmaceuticals</t>
  </si>
  <si>
    <t>Programmatic Information:</t>
  </si>
  <si>
    <t>Programmatic Indicators</t>
  </si>
  <si>
    <t>PR banking or accounting information; TGF disbursment notification; PU/DR; GF website</t>
  </si>
  <si>
    <t>Programmatic indicators  (Performance Framework )</t>
  </si>
  <si>
    <t xml:space="preserve">Financial Information: </t>
  </si>
  <si>
    <t xml:space="preserve">Management Information: </t>
  </si>
  <si>
    <t xml:space="preserve">Programmatic Information: </t>
  </si>
  <si>
    <t>Start Date (dd/Mmm/yy):</t>
  </si>
  <si>
    <t>* Includes only EFR category 4 and 5  (Health products and health equipment &amp; Medicines and Pharmaceuticals)</t>
  </si>
  <si>
    <t>Table is automatically updated. No data or information is to be entered here.</t>
  </si>
  <si>
    <t>V1.0</t>
  </si>
  <si>
    <t xml:space="preserve">The total number of periodic reports with up-to-date financial, management and performance (programmatic) data received by the PR from SRs and by SRs from the SubSRs (SSRs) by the expected date. A 'complete' report is one that contains all the data that the PR requires for the PU/DR.
The expected date would be set by the PR in the sub-agreements. </t>
  </si>
  <si>
    <t>What is the status of actions on previous decisions?</t>
  </si>
  <si>
    <r>
      <t xml:space="preserve">Cumulative budget: </t>
    </r>
    <r>
      <rPr>
        <sz val="10"/>
        <color indexed="8"/>
        <rFont val="Arial"/>
        <family val="2"/>
      </rPr>
      <t xml:space="preserve">Sum of the grant budget from period one (quarter, trimester, or semester) of the current phase, </t>
    </r>
    <r>
      <rPr>
        <b/>
        <i/>
        <sz val="10"/>
        <color indexed="8"/>
        <rFont val="Arial"/>
        <family val="2"/>
      </rPr>
      <t>up to and including</t>
    </r>
    <r>
      <rPr>
        <sz val="10"/>
        <color indexed="8"/>
        <rFont val="Arial"/>
        <family val="2"/>
      </rPr>
      <t xml:space="preserve"> the dashboard reporting period.</t>
    </r>
    <r>
      <rPr>
        <b/>
        <sz val="10"/>
        <color indexed="8"/>
        <rFont val="Arial"/>
        <family val="2"/>
      </rPr>
      <t xml:space="preserve">
Cumulative Disbursments by GF:</t>
    </r>
    <r>
      <rPr>
        <sz val="10"/>
        <color indexed="8"/>
        <rFont val="Arial"/>
        <family val="2"/>
      </rPr>
      <t xml:space="preserve"> Sum of all the funds transferred by the GF to either the PR or paid directly to suppliers (e.g. drugs, equipment, bed nets), </t>
    </r>
    <r>
      <rPr>
        <b/>
        <i/>
        <sz val="10"/>
        <color indexed="8"/>
        <rFont val="Arial"/>
        <family val="2"/>
      </rPr>
      <t>up to and including</t>
    </r>
    <r>
      <rPr>
        <b/>
        <sz val="10"/>
        <color indexed="8"/>
        <rFont val="Arial"/>
        <family val="2"/>
      </rPr>
      <t xml:space="preserve"> </t>
    </r>
    <r>
      <rPr>
        <sz val="10"/>
        <color indexed="8"/>
        <rFont val="Arial"/>
        <family val="2"/>
      </rPr>
      <t>the dasboard reporting period.</t>
    </r>
  </si>
  <si>
    <r>
      <t xml:space="preserve">Currency of the grant ($ or Euro)
• Reporting period – Figures refer to budget, disbursements or expenditure for the reporting period to which the dashboard refers.
• Prior to reporting period - Figures refer to the total budget, disbursements or expenditure for all the periods before </t>
    </r>
    <r>
      <rPr>
        <b/>
        <i/>
        <sz val="10"/>
        <color indexed="8"/>
        <rFont val="Arial"/>
        <family val="2"/>
      </rPr>
      <t>but not including</t>
    </r>
    <r>
      <rPr>
        <sz val="10"/>
        <color indexed="8"/>
        <rFont val="Arial"/>
        <family val="2"/>
      </rPr>
      <t xml:space="preserve"> the current period.</t>
    </r>
  </si>
  <si>
    <r>
      <t xml:space="preserve">Number of calendar days; it refers only to reporting period for which the latest disbursement was received and is </t>
    </r>
    <r>
      <rPr>
        <b/>
        <sz val="10"/>
        <color indexed="8"/>
        <rFont val="Arial"/>
        <family val="2"/>
      </rPr>
      <t>not cumulative</t>
    </r>
  </si>
  <si>
    <r>
      <t xml:space="preserve">Number of Conditions Precedent (CPs) and Time Bound Actions (TBAs ) fulfilled, or unfulfilled. 
</t>
    </r>
    <r>
      <rPr>
        <sz val="10"/>
        <color indexed="8"/>
        <rFont val="Arial"/>
        <family val="2"/>
      </rPr>
      <t>Within the Unfulfilled category, we distinguish between those CPs and TBAs whose deadline has not passed and those for which the deadline has passed.</t>
    </r>
  </si>
  <si>
    <r>
      <t>Number of PR grant management positions planned currently filled or vacant.</t>
    </r>
    <r>
      <rPr>
        <sz val="10"/>
        <color indexed="8"/>
        <rFont val="Arial"/>
        <family val="2"/>
      </rPr>
      <t xml:space="preserve"> Full time equivalents of the </t>
    </r>
    <r>
      <rPr>
        <b/>
        <sz val="10"/>
        <color indexed="8"/>
        <rFont val="Arial"/>
        <family val="2"/>
      </rPr>
      <t xml:space="preserve">managerial </t>
    </r>
    <r>
      <rPr>
        <sz val="10"/>
        <color indexed="8"/>
        <rFont val="Arial"/>
        <family val="2"/>
      </rPr>
      <t>positions that are on the organizational chart (or otherwise planned) and directly responsible for ensuring grant implementation at the PR, and lead SRs (if necessary). This will include new hires, current staff who are assigned to work on the grant’s management, as well as any staff seconded from other divisions or partner organizations.</t>
    </r>
  </si>
  <si>
    <r>
      <t xml:space="preserve">
</t>
    </r>
    <r>
      <rPr>
        <b/>
        <sz val="10"/>
        <color indexed="8"/>
        <rFont val="Arial"/>
        <family val="2"/>
      </rPr>
      <t xml:space="preserve">Identified: </t>
    </r>
    <r>
      <rPr>
        <sz val="10"/>
        <color indexed="8"/>
        <rFont val="Arial"/>
        <family val="2"/>
      </rPr>
      <t xml:space="preserve">Total number of potential SRs identified by the PR for the phase. </t>
    </r>
    <r>
      <rPr>
        <b/>
        <sz val="10"/>
        <color indexed="8"/>
        <rFont val="Arial"/>
        <family val="2"/>
      </rPr>
      <t xml:space="preserve">Assessed: </t>
    </r>
    <r>
      <rPr>
        <sz val="10"/>
        <color indexed="8"/>
        <rFont val="Arial"/>
        <family val="2"/>
      </rPr>
      <t xml:space="preserve">Total number of potential SRs assessed by the PR to determine whether they qualify to function as SRs for the grant. </t>
    </r>
    <r>
      <rPr>
        <b/>
        <sz val="10"/>
        <color indexed="8"/>
        <rFont val="Arial"/>
        <family val="2"/>
      </rPr>
      <t>Approved:</t>
    </r>
    <r>
      <rPr>
        <sz val="10"/>
        <color indexed="8"/>
        <rFont val="Arial"/>
        <family val="2"/>
      </rPr>
      <t xml:space="preserve"> Total number of SRs that have been approved</t>
    </r>
    <r>
      <rPr>
        <b/>
        <sz val="10"/>
        <color indexed="8"/>
        <rFont val="Arial"/>
        <family val="2"/>
      </rPr>
      <t xml:space="preserve">. Signed: </t>
    </r>
    <r>
      <rPr>
        <sz val="10"/>
        <color indexed="8"/>
        <rFont val="Arial"/>
        <family val="2"/>
      </rPr>
      <t xml:space="preserve">Total number of SRs that have signed agreements/contracts with the PR under the grant. </t>
    </r>
    <r>
      <rPr>
        <b/>
        <sz val="10"/>
        <color indexed="8"/>
        <rFont val="Arial"/>
        <family val="2"/>
      </rPr>
      <t xml:space="preserve">Receiving funding: </t>
    </r>
    <r>
      <rPr>
        <sz val="10"/>
        <color indexed="8"/>
        <rFont val="Arial"/>
        <family val="2"/>
      </rPr>
      <t xml:space="preserve">Total number of SRs that are getting funds and/or supplies from the PR.
Numbers of SRs Identified, Assessed, Approved, Signed and Receiving funds are cumulative for the phase, with the following exceptions:  
If an SR does not need new approval in Phase II, then approval in Phase I is counted. 
If an SR was signed in a previous Phase but is </t>
    </r>
    <r>
      <rPr>
        <b/>
        <sz val="10"/>
        <color indexed="8"/>
        <rFont val="Arial"/>
        <family val="2"/>
      </rPr>
      <t>not</t>
    </r>
    <r>
      <rPr>
        <sz val="10"/>
        <color indexed="8"/>
        <rFont val="Arial"/>
        <family val="2"/>
      </rPr>
      <t xml:space="preserve"> working in the current Phase, that SR is no longer counted in Identified, Assessed, Approved.</t>
    </r>
  </si>
  <si>
    <r>
      <t xml:space="preserve">Number of reports received. The figure reflects only the period of reporting; it is </t>
    </r>
    <r>
      <rPr>
        <b/>
        <i/>
        <sz val="10"/>
        <color indexed="8"/>
        <rFont val="Arial"/>
        <family val="2"/>
      </rPr>
      <t>not cumulative.</t>
    </r>
  </si>
  <si>
    <r>
      <t xml:space="preserve">This indicator measures the budget approved for the current phase of the grant for purchase of health products and equipment and pharmaceuticals and medicines (categories 4 and 5 in the new Enhanced Financial Report), and the cumulative amounts of financial obligations and expenditures up to the dashboard reporting period. 
Budget </t>
    </r>
    <r>
      <rPr>
        <b/>
        <sz val="10"/>
        <color indexed="8"/>
        <rFont val="Arial"/>
        <family val="2"/>
      </rPr>
      <t xml:space="preserve">approved: </t>
    </r>
    <r>
      <rPr>
        <sz val="10"/>
        <color indexed="8"/>
        <rFont val="Arial"/>
        <family val="2"/>
      </rPr>
      <t xml:space="preserve">Total approved budget for purchases (categories 4 and 5) </t>
    </r>
    <r>
      <rPr>
        <b/>
        <i/>
        <sz val="10"/>
        <color indexed="8"/>
        <rFont val="Arial"/>
        <family val="2"/>
      </rPr>
      <t>for the entire phase</t>
    </r>
    <r>
      <rPr>
        <i/>
        <sz val="10"/>
        <color indexed="8"/>
        <rFont val="Arial"/>
        <family val="2"/>
      </rPr>
      <t xml:space="preserve"> </t>
    </r>
    <r>
      <rPr>
        <sz val="10"/>
        <color indexed="8"/>
        <rFont val="Arial"/>
        <family val="2"/>
      </rPr>
      <t xml:space="preserve">of the grant. It does not include the amounts for fees, management, operational costs, etc.
</t>
    </r>
    <r>
      <rPr>
        <b/>
        <sz val="10"/>
        <color indexed="8"/>
        <rFont val="Arial"/>
        <family val="2"/>
      </rPr>
      <t>Cumulative Obligations:</t>
    </r>
    <r>
      <rPr>
        <sz val="10"/>
        <color indexed="8"/>
        <rFont val="Arial"/>
        <family val="2"/>
      </rPr>
      <t xml:space="preserve"> Total of all order(s) placed and monies committed for these purchases by the PR </t>
    </r>
    <r>
      <rPr>
        <b/>
        <i/>
        <sz val="10"/>
        <color indexed="8"/>
        <rFont val="Arial"/>
        <family val="2"/>
      </rPr>
      <t xml:space="preserve">up to and including </t>
    </r>
    <r>
      <rPr>
        <sz val="10"/>
        <color indexed="8"/>
        <rFont val="Arial"/>
        <family val="2"/>
      </rPr>
      <t xml:space="preserve">the dashboard reporting period. Ideally, by the end of the Phase, budget should equal obligations.
</t>
    </r>
    <r>
      <rPr>
        <b/>
        <sz val="10"/>
        <color indexed="8"/>
        <rFont val="Arial"/>
        <family val="2"/>
      </rPr>
      <t>Cumulative expenditure:</t>
    </r>
    <r>
      <rPr>
        <sz val="10"/>
        <color indexed="8"/>
        <rFont val="Arial"/>
        <family val="2"/>
      </rPr>
      <t xml:space="preserve"> Total of actual Expenditures on category 4 and 5 </t>
    </r>
    <r>
      <rPr>
        <b/>
        <i/>
        <sz val="10"/>
        <color indexed="8"/>
        <rFont val="Arial"/>
        <family val="2"/>
      </rPr>
      <t>up to and including</t>
    </r>
    <r>
      <rPr>
        <sz val="10"/>
        <color indexed="8"/>
        <rFont val="Arial"/>
        <family val="2"/>
      </rPr>
      <t xml:space="preserve"> the dashboard reporting period (whether paid by PR or authorized to be paid by another entity like GF or other).</t>
    </r>
  </si>
  <si>
    <r>
      <t xml:space="preserve">Note: </t>
    </r>
    <r>
      <rPr>
        <sz val="10"/>
        <color indexed="8"/>
        <rFont val="Arial"/>
        <family val="2"/>
      </rPr>
      <t xml:space="preserve">Category 6 of the EFR will not be considered as part of the budget for pharmaceuticals. Category 6 has several expenditures that are difficult to disaggregate or quantify, such as warehousing costs, distribution costs (particularly when distibution is done by MOHs), and others that are related to operational costs of the PSM component. </t>
    </r>
  </si>
  <si>
    <t xml:space="preserve">This indicator is a snapshot of the difference between the current (or last month) stock level of a specific product (medicine in single, fixed-dose combination, bednets, diagnostic kits, etc.) of a particular dose, expressed in monthly needs (number of months of treatment available) for all patients in the program, and the safety or buffer stock (also expressed in months) as established by the disease program, warehouse system or essential drugs program, for the particular product and dosage.  
The table will show the difference in months in colors:
• RED: when the difference is negative or 0, showing that months of existing stock are lower than or equal to what has been established as months of safety stock
• YELLOW: when we have more than the level of safety stock (&gt;0) but less than 3 months (+3).
• GREEN: when the difference is between 3 and 18 months.
• VIOLET: When the difference shows that the level above the safety stock is greater than or equal to 18 months indicating a potential overstock) problem.
For a full description of how this indicator is calculated, please see the 
User’s Manual.
</t>
  </si>
  <si>
    <t>Data Entry</t>
  </si>
  <si>
    <t>Days from receipt of accepted PU/DR by LFA</t>
  </si>
  <si>
    <r>
      <t>Average</t>
    </r>
    <r>
      <rPr>
        <sz val="11"/>
        <color theme="1"/>
        <rFont val="Calibri"/>
        <family val="2"/>
        <scheme val="minor"/>
      </rPr>
      <t xml:space="preserve"> days from receipt by PR to receipt by SRs </t>
    </r>
  </si>
  <si>
    <t>(5) 
Current stock in central warehouse (that does not expire within the next 3 months)</t>
  </si>
  <si>
    <t>(8)  =  (6) - (7)
Difference between current stock and safety stock</t>
  </si>
  <si>
    <t>M4: Number of complete reports received on time, this reporting period</t>
  </si>
  <si>
    <t>PR</t>
  </si>
  <si>
    <t>Notes that don't fit into dashboard cells.  This list can be updated each period.</t>
  </si>
  <si>
    <t>Comment Date</t>
  </si>
  <si>
    <t>Rptg Period</t>
  </si>
  <si>
    <t>Author</t>
  </si>
  <si>
    <t>PR or CCM</t>
  </si>
  <si>
    <t>Indic #</t>
  </si>
  <si>
    <t>Comment</t>
  </si>
  <si>
    <t>&lt;CCM Generic Dashboard_EN_fixed.xls&gt;   [received 26jan'10]</t>
  </si>
  <si>
    <t>This dashboard was customised from GF's January 2010 generic file,</t>
  </si>
  <si>
    <t>≥ 90%</t>
  </si>
  <si>
    <t>The indicators should be selected from the Performance Framework 
by the PRs and members of the CCM or the CCM Technical Committee.</t>
  </si>
  <si>
    <t>Condoms</t>
  </si>
  <si>
    <t>HIV test kits</t>
  </si>
  <si>
    <t>HIV confirmation kits</t>
  </si>
  <si>
    <t>Notes/Calc</t>
  </si>
  <si>
    <t>Conditions Precedent (CPs)</t>
  </si>
  <si>
    <t>MoH</t>
  </si>
  <si>
    <t>Accelerating Access -- Home-Based Care &amp; Indoor Residual Spraying</t>
  </si>
  <si>
    <t>(1)
Number of tablets per patient per day
(Review country treatment guidelines)</t>
  </si>
  <si>
    <t>(2)  =  (1) x 30
Monthly treatment 
(Tablets per patient x 30 days)</t>
  </si>
  <si>
    <t>(3)
Total patients in treatment</t>
  </si>
  <si>
    <t>(4)  =  (2) x (3)
Total # tab/pills required for all patients per month</t>
  </si>
  <si>
    <t>(6) =  (5) / (4)
Stock level expressed in months of treatment for all current patients</t>
  </si>
  <si>
    <t>YES</t>
  </si>
  <si>
    <t>F2: Budget and actual expenditures by category</t>
  </si>
  <si>
    <t>Category</t>
  </si>
  <si>
    <r>
      <t xml:space="preserve">Days from end of </t>
    </r>
    <r>
      <rPr>
        <u/>
        <sz val="11"/>
        <color indexed="8"/>
        <rFont val="Calibri"/>
        <family val="2"/>
      </rPr>
      <t>previous</t>
    </r>
    <r>
      <rPr>
        <sz val="11"/>
        <color theme="1"/>
        <rFont val="Calibri"/>
        <family val="2"/>
        <scheme val="minor"/>
      </rPr>
      <t xml:space="preserve"> reporting period until </t>
    </r>
    <r>
      <rPr>
        <b/>
        <u/>
        <sz val="11"/>
        <color indexed="12"/>
        <rFont val="Calibri"/>
        <family val="2"/>
      </rPr>
      <t>accepted</t>
    </r>
    <r>
      <rPr>
        <sz val="11"/>
        <color theme="1"/>
        <rFont val="Calibri"/>
        <family val="2"/>
        <scheme val="minor"/>
      </rPr>
      <t xml:space="preserve"> PU/DR was sent to LFA</t>
    </r>
  </si>
  <si>
    <t xml:space="preserve">as of </t>
  </si>
  <si>
    <t>which ends</t>
  </si>
  <si>
    <t>notes</t>
  </si>
  <si>
    <t>Check for any changes in SR status</t>
  </si>
  <si>
    <t>Malaria</t>
  </si>
  <si>
    <t xml:space="preserve">     Notes</t>
  </si>
  <si>
    <t>Pr1 - trend</t>
  </si>
  <si>
    <t>Pr2 - trend</t>
  </si>
  <si>
    <t>Pr3 - trend</t>
  </si>
  <si>
    <t>Pr1</t>
  </si>
  <si>
    <t>Pr2</t>
  </si>
  <si>
    <t>Pr3</t>
  </si>
  <si>
    <t>Pr4</t>
  </si>
  <si>
    <t>Pr5</t>
  </si>
  <si>
    <t>Pr6</t>
  </si>
  <si>
    <t>Pr7</t>
  </si>
  <si>
    <t>Pr8</t>
  </si>
  <si>
    <t>Pr9</t>
  </si>
  <si>
    <t>Pr10</t>
  </si>
  <si>
    <t>1.1</t>
  </si>
  <si>
    <t>AGAMAL LTD</t>
  </si>
  <si>
    <t xml:space="preserve">Daily spray cards, as summarized in the program data base Spray operator is the original source of information. </t>
  </si>
  <si>
    <t xml:space="preserve">Number and percentage of structures (rooms/dwellings)  in targeted districts sprayed by indoor residual spraying. These are structures (rooms/dwellings) sprayed in the course of the spray season. </t>
  </si>
  <si>
    <r>
      <t xml:space="preserve">Definition  (from M&amp;E Plan, </t>
    </r>
    <r>
      <rPr>
        <b/>
        <sz val="10"/>
        <color indexed="8"/>
        <rFont val="Calibri"/>
        <family val="2"/>
      </rPr>
      <t>Approved on 28 August, 2012</t>
    </r>
    <r>
      <rPr>
        <b/>
        <sz val="10"/>
        <color indexed="8"/>
        <rFont val="Calibri"/>
        <family val="2"/>
      </rPr>
      <t>)</t>
    </r>
  </si>
  <si>
    <t>March 30, 2013</t>
  </si>
  <si>
    <t>Frank Amoyaw</t>
  </si>
  <si>
    <t xml:space="preserve">PR  </t>
  </si>
  <si>
    <t>At the end of week 7 - March 30, the expected number of structures to be sprayed was 491,772 against a cumulative sprayed structures of 172,355 - representing 12.27 of the end of season target (Jan-June, 2013). Refer to Attached Performance tracker.
Please note that PR reports per semester basis, and this representation is intended to offer CCM management information on current performance as at the end of P7</t>
  </si>
  <si>
    <t xml:space="preserve">A total of 376 spray operators, 52 team leaders were engaged. Cumulative figure thus becomes 1137 </t>
  </si>
  <si>
    <t>September 10, 2013</t>
  </si>
  <si>
    <t>Some districts did not have the full complement of spray operators due to issues with medical surveillance results and some isolated cases of vacation of post. This led to the shortfall in the total number of persons trained.</t>
  </si>
  <si>
    <t>The minimum number of structures targeted for the period was 1,194,305 (85%) out of a total of 1,405,065 structures as stated in the PF for the period:
The inability to reach the minimum set target for the period resulted from significant delays in the insecticide clearing process at the port leading to stock-outs and hence lost operational time. This tremendously affected the weekly expected spray coverage and the consequent reduction in total coverage for the period.</t>
  </si>
  <si>
    <t xml:space="preserve">Although there were no stockouts prior to the start of  spraying, we encountered stockouts in the course of the spraying season. </t>
  </si>
  <si>
    <t>Apr - Jun 2015</t>
  </si>
  <si>
    <t>Jul - Sept 2015</t>
  </si>
  <si>
    <t>Oct - Dec 2015</t>
  </si>
  <si>
    <t>Jan - Mar 2016</t>
  </si>
  <si>
    <t>Apr - Jun 2016</t>
  </si>
  <si>
    <t>Jul - Sept 2016</t>
  </si>
  <si>
    <t>Oct - Dec 2016</t>
  </si>
  <si>
    <t xml:space="preserve">PR expenditure </t>
  </si>
  <si>
    <t>-</t>
  </si>
  <si>
    <t>l8</t>
  </si>
  <si>
    <t>AngloGold Asanti (Ghana) Malaria Ltd</t>
  </si>
  <si>
    <t>Cumulative Budget Approved*</t>
  </si>
  <si>
    <t>Mark Saalfeld</t>
  </si>
  <si>
    <t>GHA-M-AGAMAL</t>
  </si>
  <si>
    <t>Funding:</t>
  </si>
  <si>
    <t>New Funding Model</t>
  </si>
  <si>
    <t>1</t>
  </si>
  <si>
    <t>Jan - Mar 2017</t>
  </si>
  <si>
    <t>Apr - Jun 2017</t>
  </si>
  <si>
    <t>Jul - Sept 2017</t>
  </si>
  <si>
    <t>Oct - Dec 2017</t>
  </si>
  <si>
    <t>Human Resources</t>
  </si>
  <si>
    <t>Travel related costs</t>
  </si>
  <si>
    <t>External Professional services</t>
  </si>
  <si>
    <t>Health Products - Non Pharmaceuticals</t>
  </si>
  <si>
    <t>Health Products - Equipment</t>
  </si>
  <si>
    <t>Procurement and Supply-Chain Management costs</t>
  </si>
  <si>
    <t>Infrastructure</t>
  </si>
  <si>
    <t>Non-health equipment</t>
  </si>
  <si>
    <t>Communication Material and Publications</t>
  </si>
  <si>
    <t>Programme Administration costs</t>
  </si>
  <si>
    <t>Jan-Mar 2015</t>
  </si>
  <si>
    <t>Percentage of population in targeted areas sprayed with IRS in the last 12 months</t>
  </si>
  <si>
    <t xml:space="preserve">Daily spray cards, as summarized in the program data base. Spray operator is the original source of information. </t>
  </si>
  <si>
    <t>Pr2. No. and percentage of structures in targeted districts sprayed by indoor residual spraying in the last 12 months</t>
  </si>
  <si>
    <t>Pr1. Percentage of population in targeted districts sprayed by indoor residual spraying in the last 12 months</t>
  </si>
  <si>
    <t>The numerator for this indicator is obtained by counting the number of usual household residents in houses adequately sprayed. Adequacy is determined by the uniformity of spraying in the household, spraying in all rooms in the house and spraying at intervals consistent with the manufacturer’s recommendation in the target area. Denominator information is the projections from 2010 Population census information.</t>
  </si>
  <si>
    <t>PS= # of individual living in houses that were sprayed with a residual insecticide during an IRS campaign in the last 12 months 
PM= #Population at risk for malaria
Population Coverage =PS/PM*100</t>
  </si>
  <si>
    <t>Number of structures sprayed in targeted areas with IRS in the last 12 months</t>
  </si>
  <si>
    <t xml:space="preserve">F= # sprayable structures Targeted
S= # sprayable structures sprayed
IRS Coverage (c) = S/F* 100
</t>
  </si>
  <si>
    <t>Ignatius Williams</t>
  </si>
  <si>
    <t>As per the 2015-2016 period, only one indicator i.e. the population covered in targetd areas is required. However the CCM has requested that the dashboard be populated with the number of structures sprayed for the purpose of this reporting period. Again, the last spraying for the year was done from April to June, 2015 and data already reported to CCM.</t>
  </si>
  <si>
    <t xml:space="preserve">The last spraying for the year was done from April to June, 2015 and data already reported to CCM. Spraying was not done for the current reporting period under review; hence the entries for Target and Achieved are zero  </t>
  </si>
  <si>
    <t xml:space="preserve">AGAMAL's budget for t he period under review was $521,840 and had received its total annual disbursement in prior period. AGAMAL therefore did not receive any funds in the period under review. 
</t>
  </si>
  <si>
    <t>No population coverage for the period under review as there was no spraying done between October to December, 2015. AGAMaL is currently spraying with a long lasting insecticide (Actelic 300CS) with residual efficacy of about 9 months. Thus only one round of spraying would be done each spray year.</t>
  </si>
  <si>
    <t>Out of a budget of $133,279  $5,148,057 was spent on health products and equipment. The deficit is as a result of a roll over cost prior to the New Funding Model. Its associated budget in 2014 was not fully utilised because of delays in procuring them due to Global Fund's request for Quality Assurance Testing and the general change in spray plan.</t>
  </si>
  <si>
    <t>AGAMAL received its annual budget disbursement in prior period and therefore did not receive any funding during the period under review. However, AGAMAL's total expenditure for the period October to December,2015 was $757,624.46.The excess expenditure over disbursement received was as a result of timing differences between budget and actual payment.</t>
  </si>
  <si>
    <t>Generally, there is a positive variance in all the cost categories except Health Products, Procurement and Supply Chain Management &amp; Programme Administration.The positive variance is as a result of the timing of the start of the NFM. The budget was made to cover 12 months however NFM implementation covered 10 months ie March to December 2015. The negative variance on Health Products &amp; Equipment is as a result of insecticides procured and paid for which includes quantities meant to be used for 2016 operations rolled over from the old grant. Port clearing and handling charges on the insecticides were not budgeted for in the period under review which resulted in the negative variance on the Procurement and Supply Chain Management cost category. Finally, rent for Wa Zonal/District office was paid in advance in December 2015 instead of January 2016 as provided for in the budget. Hence the negative variance on the Programme Administration cost category.</t>
  </si>
  <si>
    <t>% of budget</t>
  </si>
  <si>
    <t>P4:</t>
  </si>
  <si>
    <t xml:space="preserve">Q3 burn rate </t>
  </si>
  <si>
    <t xml:space="preserve">Q4 burn rate </t>
  </si>
  <si>
    <t>Clearance cost for insecticide 5m that was not budgeted for (was budgeted in 2014)</t>
  </si>
  <si>
    <t xml:space="preserve">Obligations </t>
  </si>
  <si>
    <t xml:space="preserve">Commitment: 850,604 USD (50% for insecticides + 285,000 for parasite prevalence study) </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</si>
</sst>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5" formatCode="&quot;$&quot;#,##0_);\(&quot;$&quot;#,##0\)"/>
    <numFmt numFmtId="6" formatCode="&quot;$&quot;#,##0_);[Red]\(&quot;$&quot;#,##0\)"/>
    <numFmt numFmtId="8" formatCode="&quot;$&quot;#,##0.00_);[Red]\(&quot;$&quot;#,##0.00\)"/>
    <numFmt numFmtId="43" formatCode="_(* #,##0.00_);_(* \(#,##0.00\);_(* &quot;-&quot;??_);_(@_)"/>
    <numFmt numFmtId="164" formatCode="&quot;Q&quot;#,##0_);[Red]\(&quot;Q&quot;#,##0\)"/>
    <numFmt numFmtId="165" formatCode="_(&quot;Q&quot;* #,##0.00_);_(&quot;Q&quot;* \(#,##0.00\);_(&quot;Q&quot;* &quot;-&quot;??_);_(@_)"/>
    <numFmt numFmtId="166" formatCode="_(* #,##0_);_(* \(#,##0\);_(* &quot;-&quot;??_);_(@_)"/>
    <numFmt numFmtId="167" formatCode=";;;"/>
    <numFmt numFmtId="168" formatCode="0.0"/>
    <numFmt numFmtId="169" formatCode=";;;&quot;Financial Variance in %&quot;"/>
    <numFmt numFmtId="170" formatCode="_([$€]* #,##0.00_);_([$€]* \(#,##0.00\);_([$€]* &quot;-&quot;??_);_(@_)"/>
    <numFmt numFmtId="171" formatCode="[$$-409]#,##0"/>
    <numFmt numFmtId="172" formatCode="[$-409]d/mmm/yyyy;@"/>
    <numFmt numFmtId="173" formatCode="[$$-409]#,##0_);\([$$-409]#,##0\)"/>
    <numFmt numFmtId="174" formatCode="&quot;$&quot;#,##0"/>
    <numFmt numFmtId="175" formatCode="[$$-409]#,##0.00"/>
    <numFmt numFmtId="176" formatCode="_-* #,##0_-;\-* #,##0_-;_-* &quot;-&quot;??_-;_-@_-"/>
  </numFmts>
  <fonts count="144">
    <font>
      <sz val="11"/>
      <color theme="1"/>
      <name val="Calibri"/>
      <family val="2"/>
      <scheme val="minor"/>
    </font>
    <font>
      <sz val="11"/>
      <color indexed="8"/>
      <name val="Calibri"/>
      <family val="2"/>
    </font>
    <font>
      <sz val="11"/>
      <color indexed="8"/>
      <name val="Calibri"/>
      <family val="2"/>
    </font>
    <font>
      <sz val="10"/>
      <name val="Arial"/>
      <family val="2"/>
    </font>
    <font>
      <sz val="11"/>
      <color indexed="8"/>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28"/>
      <color indexed="9"/>
      <name val="Calibri"/>
      <family val="2"/>
    </font>
    <font>
      <sz val="22"/>
      <color indexed="9"/>
      <name val="Calibri"/>
      <family val="2"/>
    </font>
    <font>
      <sz val="10"/>
      <color indexed="9"/>
      <name val="Arial"/>
      <family val="2"/>
    </font>
    <font>
      <sz val="14"/>
      <color indexed="8"/>
      <name val="Calibri"/>
      <family val="2"/>
    </font>
    <font>
      <sz val="12"/>
      <color indexed="8"/>
      <name val="Calibri"/>
      <family val="2"/>
    </font>
    <font>
      <sz val="11"/>
      <name val="Calibri"/>
      <family val="2"/>
    </font>
    <font>
      <sz val="28"/>
      <name val="Calibri"/>
      <family val="2"/>
    </font>
    <font>
      <sz val="11"/>
      <color indexed="9"/>
      <name val="Arial"/>
      <family val="2"/>
    </font>
    <font>
      <b/>
      <sz val="12"/>
      <color indexed="8"/>
      <name val="Calibri"/>
      <family val="2"/>
    </font>
    <font>
      <b/>
      <sz val="11"/>
      <color indexed="16"/>
      <name val="Calibri"/>
      <family val="2"/>
    </font>
    <font>
      <sz val="11"/>
      <color indexed="16"/>
      <name val="Calibri"/>
      <family val="2"/>
    </font>
    <font>
      <b/>
      <sz val="10"/>
      <color indexed="16"/>
      <name val="Calibri"/>
      <family val="2"/>
    </font>
    <font>
      <sz val="10"/>
      <color indexed="8"/>
      <name val="Calibri"/>
      <family val="2"/>
    </font>
    <font>
      <b/>
      <sz val="10"/>
      <color indexed="60"/>
      <name val="Calibri"/>
      <family val="2"/>
    </font>
    <font>
      <sz val="8"/>
      <name val="Calibri"/>
      <family val="2"/>
    </font>
    <font>
      <b/>
      <sz val="14"/>
      <color indexed="60"/>
      <name val="Calibri"/>
      <family val="2"/>
    </font>
    <font>
      <b/>
      <sz val="10"/>
      <color indexed="8"/>
      <name val="Calibri"/>
      <family val="2"/>
    </font>
    <font>
      <b/>
      <sz val="14"/>
      <color indexed="8"/>
      <name val="Calibri"/>
      <family val="2"/>
    </font>
    <font>
      <sz val="8"/>
      <color indexed="8"/>
      <name val="Calibri"/>
      <family val="2"/>
    </font>
    <font>
      <b/>
      <sz val="8"/>
      <color indexed="8"/>
      <name val="Calibri"/>
      <family val="2"/>
    </font>
    <font>
      <b/>
      <sz val="10"/>
      <color indexed="8"/>
      <name val="Calibri"/>
      <family val="2"/>
    </font>
    <font>
      <b/>
      <sz val="9"/>
      <color indexed="8"/>
      <name val="Calibri"/>
      <family val="2"/>
    </font>
    <font>
      <b/>
      <sz val="14"/>
      <color indexed="40"/>
      <name val="Calibri"/>
      <family val="2"/>
    </font>
    <font>
      <sz val="11"/>
      <color indexed="12"/>
      <name val="Calibri"/>
      <family val="2"/>
    </font>
    <font>
      <sz val="11"/>
      <color indexed="40"/>
      <name val="Calibri"/>
      <family val="2"/>
    </font>
    <font>
      <b/>
      <sz val="11"/>
      <color indexed="62"/>
      <name val="Calibri"/>
      <family val="2"/>
    </font>
    <font>
      <b/>
      <sz val="18"/>
      <color indexed="62"/>
      <name val="Cambria"/>
      <family val="2"/>
    </font>
    <font>
      <sz val="9"/>
      <color indexed="8"/>
      <name val="Verdana"/>
      <family val="2"/>
    </font>
    <font>
      <sz val="11"/>
      <color indexed="8"/>
      <name val="Verdana"/>
      <family val="2"/>
    </font>
    <font>
      <b/>
      <sz val="10"/>
      <color indexed="63"/>
      <name val="Verdana"/>
      <family val="2"/>
    </font>
    <font>
      <sz val="8"/>
      <color indexed="8"/>
      <name val="Verdana"/>
      <family val="2"/>
    </font>
    <font>
      <b/>
      <sz val="8"/>
      <color indexed="56"/>
      <name val="Tahoma"/>
      <family val="2"/>
    </font>
    <font>
      <b/>
      <sz val="8"/>
      <color indexed="9"/>
      <name val="Calibri"/>
      <family val="2"/>
    </font>
    <font>
      <sz val="8"/>
      <color indexed="9"/>
      <name val="Tahoma"/>
      <family val="2"/>
    </font>
    <font>
      <b/>
      <sz val="8"/>
      <color indexed="9"/>
      <name val="Tahoma"/>
      <family val="2"/>
    </font>
    <font>
      <b/>
      <sz val="8"/>
      <color indexed="9"/>
      <name val="Verdana"/>
      <family val="2"/>
    </font>
    <font>
      <sz val="9"/>
      <color indexed="8"/>
      <name val="Tahoma"/>
      <family val="2"/>
    </font>
    <font>
      <sz val="8"/>
      <name val="Webdings"/>
      <family val="1"/>
      <charset val="2"/>
    </font>
    <font>
      <sz val="11"/>
      <color indexed="8"/>
      <name val="Micro Line Charts 1.1"/>
      <family val="2"/>
    </font>
    <font>
      <sz val="7"/>
      <color indexed="23"/>
      <name val="Verdana"/>
      <family val="2"/>
    </font>
    <font>
      <sz val="10"/>
      <name val="Micro Bar Charts 1.1"/>
    </font>
    <font>
      <sz val="9"/>
      <name val="Tahoma"/>
      <family val="2"/>
    </font>
    <font>
      <sz val="8"/>
      <color indexed="63"/>
      <name val="Micro Bar Charts 1.1"/>
    </font>
    <font>
      <sz val="9"/>
      <color indexed="8"/>
      <name val="Micro Bar Charts"/>
    </font>
    <font>
      <b/>
      <sz val="8"/>
      <name val="Tahoma"/>
      <family val="2"/>
    </font>
    <font>
      <sz val="14"/>
      <color indexed="9"/>
      <name val="Calibri"/>
      <family val="2"/>
    </font>
    <font>
      <sz val="14"/>
      <name val="Calibri"/>
      <family val="2"/>
    </font>
    <font>
      <sz val="11"/>
      <color indexed="8"/>
      <name val="Arial"/>
      <family val="2"/>
    </font>
    <font>
      <sz val="8"/>
      <color indexed="9"/>
      <name val="Arial"/>
      <family val="2"/>
    </font>
    <font>
      <sz val="9"/>
      <color indexed="8"/>
      <name val="Arial"/>
      <family val="2"/>
    </font>
    <font>
      <sz val="7"/>
      <color indexed="43"/>
      <name val="Verdana"/>
      <family val="2"/>
    </font>
    <font>
      <sz val="10"/>
      <name val="Arial"/>
      <family val="2"/>
    </font>
    <font>
      <b/>
      <sz val="14"/>
      <color indexed="51"/>
      <name val="Calibri"/>
      <family val="2"/>
    </font>
    <font>
      <sz val="11"/>
      <color indexed="59"/>
      <name val="Calibri"/>
      <family val="2"/>
    </font>
    <font>
      <sz val="10"/>
      <color indexed="59"/>
      <name val="Calibri"/>
      <family val="2"/>
    </font>
    <font>
      <sz val="11"/>
      <color indexed="8"/>
      <name val="Calibri"/>
      <family val="2"/>
    </font>
    <font>
      <b/>
      <sz val="14"/>
      <color indexed="9"/>
      <name val="Calibri"/>
      <family val="2"/>
    </font>
    <font>
      <b/>
      <sz val="8"/>
      <color indexed="8"/>
      <name val="Verdana"/>
      <family val="2"/>
    </font>
    <font>
      <b/>
      <sz val="15"/>
      <color indexed="62"/>
      <name val="Calibri"/>
      <family val="2"/>
    </font>
    <font>
      <b/>
      <sz val="13"/>
      <color indexed="62"/>
      <name val="Calibri"/>
      <family val="2"/>
    </font>
    <font>
      <sz val="11"/>
      <color indexed="53"/>
      <name val="Calibri"/>
      <family val="2"/>
    </font>
    <font>
      <b/>
      <sz val="10"/>
      <name val="Arial"/>
      <family val="2"/>
    </font>
    <font>
      <b/>
      <sz val="12"/>
      <color indexed="56"/>
      <name val="Tahoma"/>
      <family val="2"/>
    </font>
    <font>
      <b/>
      <sz val="10"/>
      <name val="Verdana"/>
      <family val="2"/>
    </font>
    <font>
      <sz val="10"/>
      <color indexed="8"/>
      <name val="Arial"/>
      <family val="2"/>
    </font>
    <font>
      <b/>
      <sz val="10"/>
      <color indexed="8"/>
      <name val="Arial"/>
      <family val="2"/>
    </font>
    <font>
      <b/>
      <sz val="11"/>
      <name val="Calibri"/>
      <family val="2"/>
    </font>
    <font>
      <b/>
      <sz val="11"/>
      <color indexed="14"/>
      <name val="Calibri"/>
      <family val="2"/>
    </font>
    <font>
      <b/>
      <i/>
      <sz val="11"/>
      <color indexed="8"/>
      <name val="Calibri"/>
      <family val="2"/>
    </font>
    <font>
      <i/>
      <sz val="8"/>
      <color indexed="8"/>
      <name val="Calibri"/>
      <family val="2"/>
    </font>
    <font>
      <b/>
      <sz val="11"/>
      <color indexed="8"/>
      <name val="Arial"/>
      <family val="2"/>
    </font>
    <font>
      <b/>
      <sz val="16"/>
      <color indexed="8"/>
      <name val="Calibri"/>
      <family val="2"/>
    </font>
    <font>
      <b/>
      <sz val="11"/>
      <color indexed="16"/>
      <name val="Calibri"/>
      <family val="2"/>
    </font>
    <font>
      <b/>
      <sz val="14"/>
      <color indexed="52"/>
      <name val="Calibri"/>
      <family val="2"/>
    </font>
    <font>
      <sz val="11"/>
      <color indexed="8"/>
      <name val="Calibri"/>
      <family val="2"/>
    </font>
    <font>
      <b/>
      <sz val="10"/>
      <color indexed="53"/>
      <name val="Calibri"/>
      <family val="2"/>
    </font>
    <font>
      <sz val="11"/>
      <color indexed="8"/>
      <name val="Arial Black"/>
      <family val="2"/>
    </font>
    <font>
      <sz val="11"/>
      <color indexed="60"/>
      <name val="Calibri"/>
      <family val="2"/>
    </font>
    <font>
      <sz val="11"/>
      <color indexed="8"/>
      <name val="Calibri"/>
      <family val="2"/>
    </font>
    <font>
      <sz val="11"/>
      <color indexed="8"/>
      <name val="Calibri"/>
      <family val="2"/>
    </font>
    <font>
      <i/>
      <sz val="11"/>
      <color indexed="8"/>
      <name val="Calibri"/>
      <family val="2"/>
    </font>
    <font>
      <b/>
      <sz val="11"/>
      <color indexed="60"/>
      <name val="Calibri"/>
      <family val="2"/>
    </font>
    <font>
      <b/>
      <sz val="11"/>
      <color indexed="14"/>
      <name val="Calibri"/>
      <family val="2"/>
    </font>
    <font>
      <sz val="22"/>
      <color indexed="9"/>
      <name val="Calibri"/>
      <family val="2"/>
    </font>
    <font>
      <i/>
      <sz val="11"/>
      <name val="Calibri"/>
      <family val="2"/>
    </font>
    <font>
      <sz val="10"/>
      <name val="Calibri"/>
      <family val="2"/>
    </font>
    <font>
      <sz val="9"/>
      <color indexed="16"/>
      <name val="Calibri"/>
      <family val="2"/>
    </font>
    <font>
      <b/>
      <i/>
      <sz val="14"/>
      <color indexed="12"/>
      <name val="Calibri"/>
      <family val="2"/>
    </font>
    <font>
      <b/>
      <sz val="9"/>
      <name val="Calibri"/>
      <family val="2"/>
    </font>
    <font>
      <sz val="16"/>
      <color indexed="9"/>
      <name val="Calibri"/>
      <family val="2"/>
    </font>
    <font>
      <i/>
      <sz val="11"/>
      <color indexed="8"/>
      <name val="Calibri"/>
      <family val="2"/>
    </font>
    <font>
      <b/>
      <sz val="14"/>
      <color indexed="44"/>
      <name val="Calibri"/>
      <family val="2"/>
    </font>
    <font>
      <b/>
      <sz val="14"/>
      <color indexed="51"/>
      <name val="Calibri"/>
      <family val="2"/>
    </font>
    <font>
      <sz val="12"/>
      <color indexed="9"/>
      <name val="Calibri"/>
      <family val="2"/>
    </font>
    <font>
      <sz val="8"/>
      <color indexed="16"/>
      <name val="Calibri"/>
      <family val="2"/>
    </font>
    <font>
      <b/>
      <sz val="11"/>
      <color indexed="8"/>
      <name val="Calibri"/>
      <family val="2"/>
    </font>
    <font>
      <sz val="8"/>
      <color indexed="8"/>
      <name val="Calibri"/>
      <family val="2"/>
    </font>
    <font>
      <b/>
      <sz val="8"/>
      <name val="Arial"/>
      <family val="2"/>
    </font>
    <font>
      <b/>
      <sz val="8"/>
      <color indexed="81"/>
      <name val="Tahoma"/>
      <family val="2"/>
    </font>
    <font>
      <sz val="11"/>
      <color indexed="8"/>
      <name val="Calibri"/>
      <family val="2"/>
    </font>
    <font>
      <sz val="8"/>
      <color indexed="81"/>
      <name val="Tahoma"/>
      <family val="2"/>
    </font>
    <font>
      <b/>
      <sz val="20"/>
      <color indexed="8"/>
      <name val="Calibri"/>
      <family val="2"/>
    </font>
    <font>
      <sz val="20"/>
      <color indexed="8"/>
      <name val="Calibri"/>
      <family val="2"/>
    </font>
    <font>
      <b/>
      <i/>
      <sz val="10"/>
      <color indexed="8"/>
      <name val="Arial"/>
      <family val="2"/>
    </font>
    <font>
      <i/>
      <sz val="10"/>
      <color indexed="8"/>
      <name val="Arial"/>
      <family val="2"/>
    </font>
    <font>
      <sz val="10"/>
      <color indexed="10"/>
      <name val="Arial"/>
      <family val="2"/>
    </font>
    <font>
      <b/>
      <sz val="10"/>
      <color indexed="14"/>
      <name val="Calibri"/>
      <family val="2"/>
    </font>
    <font>
      <b/>
      <i/>
      <sz val="16"/>
      <color indexed="12"/>
      <name val="Calibri"/>
      <family val="2"/>
    </font>
    <font>
      <b/>
      <i/>
      <sz val="14"/>
      <color indexed="12"/>
      <name val="Calibri"/>
      <family val="2"/>
    </font>
    <font>
      <u/>
      <sz val="11"/>
      <color indexed="8"/>
      <name val="Calibri"/>
      <family val="2"/>
    </font>
    <font>
      <b/>
      <i/>
      <sz val="11"/>
      <color indexed="48"/>
      <name val="Calibri"/>
      <family val="2"/>
    </font>
    <font>
      <sz val="11"/>
      <color indexed="8"/>
      <name val="Calibri"/>
      <family val="2"/>
    </font>
    <font>
      <b/>
      <u/>
      <sz val="11"/>
      <color indexed="12"/>
      <name val="Calibri"/>
      <family val="2"/>
    </font>
    <font>
      <sz val="10"/>
      <color indexed="9"/>
      <name val="Calibri"/>
      <family val="2"/>
    </font>
    <font>
      <sz val="9"/>
      <color indexed="8"/>
      <name val="Calibri"/>
      <family val="2"/>
    </font>
    <font>
      <i/>
      <sz val="11"/>
      <color indexed="48"/>
      <name val="Calibri"/>
      <family val="2"/>
    </font>
    <font>
      <b/>
      <i/>
      <sz val="11"/>
      <color indexed="14"/>
      <name val="Calibri"/>
      <family val="2"/>
    </font>
    <font>
      <sz val="11"/>
      <color theme="1"/>
      <name val="Calibri"/>
      <family val="2"/>
      <scheme val="minor"/>
    </font>
    <font>
      <u/>
      <sz val="11"/>
      <color theme="10"/>
      <name val="Calibri"/>
      <family val="2"/>
      <scheme val="minor"/>
    </font>
    <font>
      <u/>
      <sz val="11"/>
      <color theme="11"/>
      <name val="Calibri"/>
      <family val="2"/>
      <scheme val="minor"/>
    </font>
    <font>
      <sz val="11"/>
      <name val="Calibri"/>
      <family val="2"/>
      <scheme val="minor"/>
    </font>
    <font>
      <u/>
      <sz val="10"/>
      <color indexed="12"/>
      <name val="Arial"/>
      <family val="2"/>
    </font>
    <font>
      <b/>
      <sz val="11"/>
      <color theme="1"/>
      <name val="Calibri"/>
      <family val="2"/>
      <scheme val="minor"/>
    </font>
    <font>
      <i/>
      <sz val="11"/>
      <color theme="1"/>
      <name val="Calibri"/>
      <family val="2"/>
      <scheme val="minor"/>
    </font>
    <font>
      <i/>
      <sz val="11"/>
      <color indexed="16"/>
      <name val="Calibri"/>
      <family val="2"/>
    </font>
    <font>
      <i/>
      <sz val="11"/>
      <color indexed="60"/>
      <name val="Calibri"/>
      <family val="2"/>
    </font>
    <font>
      <i/>
      <sz val="11"/>
      <color indexed="9"/>
      <name val="Calibri"/>
      <family val="2"/>
    </font>
  </fonts>
  <fills count="42">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3"/>
      </patternFill>
    </fill>
    <fill>
      <patternFill patternType="solid">
        <fgColor indexed="57"/>
      </patternFill>
    </fill>
    <fill>
      <patternFill patternType="solid">
        <fgColor indexed="54"/>
      </patternFill>
    </fill>
    <fill>
      <patternFill patternType="solid">
        <fgColor indexed="14"/>
      </patternFill>
    </fill>
    <fill>
      <patternFill patternType="solid">
        <fgColor indexed="45"/>
      </patternFill>
    </fill>
    <fill>
      <patternFill patternType="solid">
        <fgColor indexed="55"/>
      </patternFill>
    </fill>
    <fill>
      <patternFill patternType="solid">
        <fgColor indexed="42"/>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gray0625">
        <fgColor indexed="52"/>
        <bgColor indexed="43"/>
      </patternFill>
    </fill>
    <fill>
      <patternFill patternType="gray0625">
        <fgColor indexed="51"/>
      </patternFill>
    </fill>
    <fill>
      <patternFill patternType="solid">
        <fgColor indexed="44"/>
        <bgColor indexed="64"/>
      </patternFill>
    </fill>
    <fill>
      <patternFill patternType="solid">
        <fgColor indexed="47"/>
        <bgColor indexed="64"/>
      </patternFill>
    </fill>
    <fill>
      <patternFill patternType="solid">
        <fgColor indexed="11"/>
        <bgColor indexed="64"/>
      </patternFill>
    </fill>
    <fill>
      <patternFill patternType="solid">
        <fgColor indexed="43"/>
        <bgColor indexed="64"/>
      </patternFill>
    </fill>
    <fill>
      <patternFill patternType="solid">
        <fgColor indexed="61"/>
        <bgColor indexed="64"/>
      </patternFill>
    </fill>
    <fill>
      <patternFill patternType="lightTrellis">
        <fgColor indexed="9"/>
        <bgColor indexed="43"/>
      </patternFill>
    </fill>
    <fill>
      <patternFill patternType="solid">
        <fgColor indexed="18"/>
        <bgColor indexed="64"/>
      </patternFill>
    </fill>
    <fill>
      <patternFill patternType="solid">
        <fgColor indexed="62"/>
        <bgColor indexed="64"/>
      </patternFill>
    </fill>
    <fill>
      <patternFill patternType="gray0625">
        <fgColor indexed="51"/>
        <bgColor indexed="43"/>
      </patternFill>
    </fill>
    <fill>
      <patternFill patternType="solid">
        <fgColor indexed="14"/>
        <bgColor indexed="64"/>
      </patternFill>
    </fill>
    <fill>
      <patternFill patternType="solid">
        <fgColor indexed="57"/>
        <bgColor indexed="64"/>
      </patternFill>
    </fill>
    <fill>
      <patternFill patternType="solid">
        <fgColor indexed="13"/>
        <bgColor indexed="64"/>
      </patternFill>
    </fill>
    <fill>
      <patternFill patternType="mediumGray">
        <fgColor indexed="9"/>
        <bgColor indexed="43"/>
      </patternFill>
    </fill>
    <fill>
      <patternFill patternType="mediumGray">
        <fgColor indexed="9"/>
        <bgColor indexed="44"/>
      </patternFill>
    </fill>
    <fill>
      <patternFill patternType="mediumGray">
        <fgColor indexed="9"/>
        <bgColor indexed="47"/>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s>
  <borders count="23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style="thin">
        <color auto="1"/>
      </left>
      <right style="thin">
        <color auto="1"/>
      </right>
      <top style="thin">
        <color auto="1"/>
      </top>
      <bottom style="thin">
        <color auto="1"/>
      </bottom>
      <diagonal/>
    </border>
    <border>
      <left style="thin">
        <color indexed="9"/>
      </left>
      <right style="thin">
        <color indexed="9"/>
      </right>
      <top style="thin">
        <color indexed="9"/>
      </top>
      <bottom style="thin">
        <color indexed="9"/>
      </bottom>
      <diagonal/>
    </border>
    <border>
      <left/>
      <right/>
      <top/>
      <bottom style="medium">
        <color indexed="18"/>
      </bottom>
      <diagonal/>
    </border>
    <border>
      <left style="hair">
        <color indexed="57"/>
      </left>
      <right style="hair">
        <color indexed="57"/>
      </right>
      <top style="medium">
        <color indexed="57"/>
      </top>
      <bottom style="medium">
        <color indexed="57"/>
      </bottom>
      <diagonal/>
    </border>
    <border>
      <left/>
      <right/>
      <top/>
      <bottom style="medium">
        <color indexed="60"/>
      </bottom>
      <diagonal/>
    </border>
    <border>
      <left style="medium">
        <color indexed="16"/>
      </left>
      <right style="thin">
        <color indexed="16"/>
      </right>
      <top style="thin">
        <color indexed="16"/>
      </top>
      <bottom style="thin">
        <color indexed="16"/>
      </bottom>
      <diagonal/>
    </border>
    <border>
      <left style="medium">
        <color indexed="16"/>
      </left>
      <right/>
      <top style="thin">
        <color indexed="16"/>
      </top>
      <bottom style="thin">
        <color indexed="16"/>
      </bottom>
      <diagonal/>
    </border>
    <border>
      <left style="medium">
        <color indexed="16"/>
      </left>
      <right/>
      <top style="thin">
        <color indexed="16"/>
      </top>
      <bottom style="medium">
        <color indexed="16"/>
      </bottom>
      <diagonal/>
    </border>
    <border>
      <left style="medium">
        <color indexed="16"/>
      </left>
      <right style="thin">
        <color auto="1"/>
      </right>
      <top style="thin">
        <color auto="1"/>
      </top>
      <bottom style="thin">
        <color auto="1"/>
      </bottom>
      <diagonal/>
    </border>
    <border>
      <left style="medium">
        <color indexed="16"/>
      </left>
      <right style="thin">
        <color auto="1"/>
      </right>
      <top style="thin">
        <color auto="1"/>
      </top>
      <bottom style="medium">
        <color indexed="16"/>
      </bottom>
      <diagonal/>
    </border>
    <border>
      <left/>
      <right/>
      <top/>
      <bottom style="medium">
        <color indexed="12"/>
      </bottom>
      <diagonal/>
    </border>
    <border>
      <left style="thin">
        <color auto="1"/>
      </left>
      <right style="thin">
        <color auto="1"/>
      </right>
      <top style="medium">
        <color indexed="48"/>
      </top>
      <bottom style="thin">
        <color auto="1"/>
      </bottom>
      <diagonal/>
    </border>
    <border>
      <left style="thin">
        <color auto="1"/>
      </left>
      <right style="medium">
        <color indexed="48"/>
      </right>
      <top style="medium">
        <color indexed="48"/>
      </top>
      <bottom style="thin">
        <color auto="1"/>
      </bottom>
      <diagonal/>
    </border>
    <border>
      <left style="medium">
        <color indexed="48"/>
      </left>
      <right style="thin">
        <color auto="1"/>
      </right>
      <top style="thin">
        <color auto="1"/>
      </top>
      <bottom style="thin">
        <color auto="1"/>
      </bottom>
      <diagonal/>
    </border>
    <border>
      <left style="thin">
        <color auto="1"/>
      </left>
      <right style="medium">
        <color indexed="48"/>
      </right>
      <top style="thin">
        <color auto="1"/>
      </top>
      <bottom style="thin">
        <color auto="1"/>
      </bottom>
      <diagonal/>
    </border>
    <border>
      <left style="medium">
        <color indexed="48"/>
      </left>
      <right style="thin">
        <color auto="1"/>
      </right>
      <top style="thin">
        <color auto="1"/>
      </top>
      <bottom style="medium">
        <color indexed="48"/>
      </bottom>
      <diagonal/>
    </border>
    <border>
      <left style="thin">
        <color auto="1"/>
      </left>
      <right style="medium">
        <color indexed="48"/>
      </right>
      <top style="thin">
        <color auto="1"/>
      </top>
      <bottom style="medium">
        <color indexed="48"/>
      </bottom>
      <diagonal/>
    </border>
    <border>
      <left style="medium">
        <color indexed="48"/>
      </left>
      <right/>
      <top style="medium">
        <color indexed="48"/>
      </top>
      <bottom/>
      <diagonal/>
    </border>
    <border>
      <left/>
      <right/>
      <top/>
      <bottom style="medium">
        <color indexed="51"/>
      </bottom>
      <diagonal/>
    </border>
    <border>
      <left style="thin">
        <color auto="1"/>
      </left>
      <right/>
      <top style="thin">
        <color auto="1"/>
      </top>
      <bottom style="thin">
        <color auto="1"/>
      </bottom>
      <diagonal/>
    </border>
    <border>
      <left style="thin">
        <color auto="1"/>
      </left>
      <right/>
      <top style="thin">
        <color auto="1"/>
      </top>
      <bottom style="medium">
        <color indexed="51"/>
      </bottom>
      <diagonal/>
    </border>
    <border>
      <left style="dotted">
        <color auto="1"/>
      </left>
      <right style="dotted">
        <color auto="1"/>
      </right>
      <top style="medium">
        <color indexed="52"/>
      </top>
      <bottom style="hair">
        <color auto="1"/>
      </bottom>
      <diagonal/>
    </border>
    <border>
      <left style="dotted">
        <color auto="1"/>
      </left>
      <right style="dotted">
        <color auto="1"/>
      </right>
      <top style="hair">
        <color auto="1"/>
      </top>
      <bottom style="hair">
        <color auto="1"/>
      </bottom>
      <diagonal/>
    </border>
    <border>
      <left style="dotted">
        <color auto="1"/>
      </left>
      <right style="dotted">
        <color auto="1"/>
      </right>
      <top style="hair">
        <color auto="1"/>
      </top>
      <bottom style="medium">
        <color indexed="52"/>
      </bottom>
      <diagonal/>
    </border>
    <border>
      <left style="dotted">
        <color indexed="62"/>
      </left>
      <right style="dotted">
        <color auto="1"/>
      </right>
      <top style="medium">
        <color indexed="62"/>
      </top>
      <bottom style="hair">
        <color auto="1"/>
      </bottom>
      <diagonal/>
    </border>
    <border>
      <left style="dotted">
        <color indexed="62"/>
      </left>
      <right style="dotted">
        <color auto="1"/>
      </right>
      <top style="hair">
        <color auto="1"/>
      </top>
      <bottom style="hair">
        <color auto="1"/>
      </bottom>
      <diagonal/>
    </border>
    <border>
      <left style="dotted">
        <color indexed="62"/>
      </left>
      <right style="dotted">
        <color auto="1"/>
      </right>
      <top style="hair">
        <color auto="1"/>
      </top>
      <bottom style="medium">
        <color indexed="62"/>
      </bottom>
      <diagonal/>
    </border>
    <border>
      <left style="hair">
        <color auto="1"/>
      </left>
      <right style="hair">
        <color auto="1"/>
      </right>
      <top style="medium">
        <color indexed="51"/>
      </top>
      <bottom style="hair">
        <color auto="1"/>
      </bottom>
      <diagonal/>
    </border>
    <border>
      <left style="hair">
        <color auto="1"/>
      </left>
      <right style="hair">
        <color auto="1"/>
      </right>
      <top/>
      <bottom style="hair">
        <color auto="1"/>
      </bottom>
      <diagonal/>
    </border>
    <border>
      <left style="hair">
        <color auto="1"/>
      </left>
      <right style="hair">
        <color auto="1"/>
      </right>
      <top style="hair">
        <color auto="1"/>
      </top>
      <bottom style="medium">
        <color indexed="5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right style="thick">
        <color indexed="9"/>
      </right>
      <top/>
      <bottom/>
      <diagonal/>
    </border>
    <border>
      <left style="hair">
        <color auto="1"/>
      </left>
      <right style="hair">
        <color auto="1"/>
      </right>
      <top/>
      <bottom/>
      <diagonal/>
    </border>
    <border>
      <left style="thin">
        <color auto="1"/>
      </left>
      <right style="thin">
        <color auto="1"/>
      </right>
      <top style="medium">
        <color indexed="51"/>
      </top>
      <bottom style="thin">
        <color auto="1"/>
      </bottom>
      <diagonal/>
    </border>
    <border>
      <left style="thin">
        <color auto="1"/>
      </left>
      <right style="thin">
        <color auto="1"/>
      </right>
      <top style="thin">
        <color auto="1"/>
      </top>
      <bottom style="medium">
        <color indexed="48"/>
      </bottom>
      <diagonal/>
    </border>
    <border>
      <left style="medium">
        <color indexed="16"/>
      </left>
      <right style="thin">
        <color indexed="16"/>
      </right>
      <top/>
      <bottom style="thin">
        <color indexed="16"/>
      </bottom>
      <diagonal/>
    </border>
    <border>
      <left/>
      <right style="thin">
        <color auto="1"/>
      </right>
      <top style="medium">
        <color indexed="51"/>
      </top>
      <bottom style="thin">
        <color auto="1"/>
      </bottom>
      <diagonal/>
    </border>
    <border>
      <left style="thin">
        <color auto="1"/>
      </left>
      <right/>
      <top/>
      <bottom/>
      <diagonal/>
    </border>
    <border>
      <left style="medium">
        <color indexed="60"/>
      </left>
      <right style="thin">
        <color auto="1"/>
      </right>
      <top style="thin">
        <color auto="1"/>
      </top>
      <bottom style="thin">
        <color auto="1"/>
      </bottom>
      <diagonal/>
    </border>
    <border>
      <left style="medium">
        <color indexed="60"/>
      </left>
      <right style="thin">
        <color auto="1"/>
      </right>
      <top style="thin">
        <color auto="1"/>
      </top>
      <bottom style="medium">
        <color indexed="60"/>
      </bottom>
      <diagonal/>
    </border>
    <border>
      <left style="medium">
        <color indexed="60"/>
      </left>
      <right/>
      <top style="medium">
        <color indexed="60"/>
      </top>
      <bottom style="thin">
        <color auto="1"/>
      </bottom>
      <diagonal/>
    </border>
    <border>
      <left style="thin">
        <color indexed="60"/>
      </left>
      <right style="thin">
        <color indexed="60"/>
      </right>
      <top style="medium">
        <color indexed="60"/>
      </top>
      <bottom style="thin">
        <color auto="1"/>
      </bottom>
      <diagonal/>
    </border>
    <border>
      <left style="medium">
        <color auto="1"/>
      </left>
      <right style="thin">
        <color auto="1"/>
      </right>
      <top style="thin">
        <color auto="1"/>
      </top>
      <bottom style="thin">
        <color auto="1"/>
      </bottom>
      <diagonal/>
    </border>
    <border>
      <left style="thin">
        <color auto="1"/>
      </left>
      <right style="medium">
        <color indexed="16"/>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indexed="51"/>
      </right>
      <top style="thin">
        <color auto="1"/>
      </top>
      <bottom style="thin">
        <color auto="1"/>
      </bottom>
      <diagonal/>
    </border>
    <border>
      <left style="thin">
        <color auto="1"/>
      </left>
      <right style="thin">
        <color auto="1"/>
      </right>
      <top style="thin">
        <color auto="1"/>
      </top>
      <bottom style="medium">
        <color indexed="51"/>
      </bottom>
      <diagonal/>
    </border>
    <border>
      <left style="medium">
        <color indexed="51"/>
      </left>
      <right style="medium">
        <color indexed="51"/>
      </right>
      <top style="medium">
        <color indexed="5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right/>
      <top style="thin">
        <color indexed="30"/>
      </top>
      <bottom style="thin">
        <color indexed="30"/>
      </bottom>
      <diagonal/>
    </border>
    <border>
      <left style="thin">
        <color auto="1"/>
      </left>
      <right/>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style="thin">
        <color auto="1"/>
      </top>
      <bottom style="medium">
        <color indexed="16"/>
      </bottom>
      <diagonal/>
    </border>
    <border>
      <left style="thin">
        <color auto="1"/>
      </left>
      <right style="medium">
        <color indexed="16"/>
      </right>
      <top style="thin">
        <color auto="1"/>
      </top>
      <bottom style="medium">
        <color indexed="16"/>
      </bottom>
      <diagonal/>
    </border>
    <border>
      <left style="thin">
        <color indexed="16"/>
      </left>
      <right style="thin">
        <color indexed="16"/>
      </right>
      <top/>
      <bottom style="thin">
        <color indexed="16"/>
      </bottom>
      <diagonal/>
    </border>
    <border>
      <left style="thin">
        <color indexed="16"/>
      </left>
      <right style="thin">
        <color indexed="16"/>
      </right>
      <top style="thin">
        <color indexed="16"/>
      </top>
      <bottom style="thin">
        <color indexed="16"/>
      </bottom>
      <diagonal/>
    </border>
    <border>
      <left style="thin">
        <color indexed="16"/>
      </left>
      <right style="medium">
        <color indexed="16"/>
      </right>
      <top style="medium">
        <color indexed="16"/>
      </top>
      <bottom style="thin">
        <color indexed="16"/>
      </bottom>
      <diagonal/>
    </border>
    <border>
      <left style="medium">
        <color auto="1"/>
      </left>
      <right/>
      <top/>
      <bottom style="thin">
        <color auto="1"/>
      </bottom>
      <diagonal/>
    </border>
    <border>
      <left style="thin">
        <color indexed="16"/>
      </left>
      <right style="thin">
        <color indexed="16"/>
      </right>
      <top style="thin">
        <color indexed="16"/>
      </top>
      <bottom/>
      <diagonal/>
    </border>
    <border>
      <left style="thin">
        <color auto="1"/>
      </left>
      <right style="medium">
        <color indexed="60"/>
      </right>
      <top style="thin">
        <color auto="1"/>
      </top>
      <bottom style="thin">
        <color auto="1"/>
      </bottom>
      <diagonal/>
    </border>
    <border>
      <left style="thin">
        <color auto="1"/>
      </left>
      <right style="thin">
        <color auto="1"/>
      </right>
      <top style="thin">
        <color auto="1"/>
      </top>
      <bottom style="medium">
        <color indexed="60"/>
      </bottom>
      <diagonal/>
    </border>
    <border>
      <left style="thin">
        <color auto="1"/>
      </left>
      <right style="medium">
        <color indexed="60"/>
      </right>
      <top style="thin">
        <color auto="1"/>
      </top>
      <bottom style="medium">
        <color indexed="60"/>
      </bottom>
      <diagonal/>
    </border>
    <border>
      <left style="thin">
        <color indexed="16"/>
      </left>
      <right style="thin">
        <color indexed="16"/>
      </right>
      <top style="medium">
        <color indexed="51"/>
      </top>
      <bottom style="thin">
        <color auto="1"/>
      </bottom>
      <diagonal/>
    </border>
    <border>
      <left style="thin">
        <color indexed="60"/>
      </left>
      <right style="thin">
        <color indexed="60"/>
      </right>
      <top style="thin">
        <color indexed="60"/>
      </top>
      <bottom style="thin">
        <color indexed="60"/>
      </bottom>
      <diagonal/>
    </border>
    <border>
      <left style="medium">
        <color indexed="60"/>
      </left>
      <right style="thin">
        <color indexed="60"/>
      </right>
      <top style="medium">
        <color indexed="60"/>
      </top>
      <bottom style="thin">
        <color indexed="60"/>
      </bottom>
      <diagonal/>
    </border>
    <border>
      <left style="thin">
        <color indexed="60"/>
      </left>
      <right style="thin">
        <color indexed="60"/>
      </right>
      <top style="medium">
        <color indexed="60"/>
      </top>
      <bottom style="thin">
        <color indexed="60"/>
      </bottom>
      <diagonal/>
    </border>
    <border>
      <left style="thin">
        <color indexed="60"/>
      </left>
      <right style="medium">
        <color indexed="60"/>
      </right>
      <top style="medium">
        <color indexed="60"/>
      </top>
      <bottom style="thin">
        <color indexed="60"/>
      </bottom>
      <diagonal/>
    </border>
    <border>
      <left style="medium">
        <color indexed="60"/>
      </left>
      <right style="thin">
        <color indexed="60"/>
      </right>
      <top style="thin">
        <color indexed="60"/>
      </top>
      <bottom style="thin">
        <color indexed="60"/>
      </bottom>
      <diagonal/>
    </border>
    <border>
      <left style="thin">
        <color indexed="60"/>
      </left>
      <right style="medium">
        <color indexed="60"/>
      </right>
      <top style="thin">
        <color indexed="60"/>
      </top>
      <bottom style="thin">
        <color indexed="60"/>
      </bottom>
      <diagonal/>
    </border>
    <border>
      <left style="medium">
        <color indexed="60"/>
      </left>
      <right style="thin">
        <color indexed="60"/>
      </right>
      <top style="thin">
        <color indexed="60"/>
      </top>
      <bottom style="medium">
        <color indexed="60"/>
      </bottom>
      <diagonal/>
    </border>
    <border>
      <left style="thin">
        <color indexed="60"/>
      </left>
      <right style="thin">
        <color indexed="60"/>
      </right>
      <top style="thin">
        <color indexed="60"/>
      </top>
      <bottom style="medium">
        <color indexed="60"/>
      </bottom>
      <diagonal/>
    </border>
    <border>
      <left style="medium">
        <color indexed="60"/>
      </left>
      <right style="medium">
        <color indexed="60"/>
      </right>
      <top style="medium">
        <color indexed="60"/>
      </top>
      <bottom style="medium">
        <color indexed="60"/>
      </bottom>
      <diagonal/>
    </border>
    <border>
      <left style="medium">
        <color indexed="51"/>
      </left>
      <right style="medium">
        <color indexed="51"/>
      </right>
      <top style="medium">
        <color indexed="51"/>
      </top>
      <bottom style="medium">
        <color indexed="51"/>
      </bottom>
      <diagonal/>
    </border>
    <border>
      <left style="medium">
        <color indexed="12"/>
      </left>
      <right/>
      <top style="medium">
        <color indexed="12"/>
      </top>
      <bottom style="medium">
        <color indexed="12"/>
      </bottom>
      <diagonal/>
    </border>
    <border>
      <left style="medium">
        <color indexed="12"/>
      </left>
      <right/>
      <top/>
      <bottom/>
      <diagonal/>
    </border>
    <border>
      <left style="thin">
        <color auto="1"/>
      </left>
      <right style="thin">
        <color auto="1"/>
      </right>
      <top/>
      <bottom/>
      <diagonal/>
    </border>
    <border>
      <left/>
      <right style="medium">
        <color indexed="60"/>
      </right>
      <top style="medium">
        <color indexed="60"/>
      </top>
      <bottom/>
      <diagonal/>
    </border>
    <border>
      <left/>
      <right style="medium">
        <color auto="1"/>
      </right>
      <top style="thin">
        <color auto="1"/>
      </top>
      <bottom style="thin">
        <color auto="1"/>
      </bottom>
      <diagonal/>
    </border>
    <border>
      <left style="medium">
        <color indexed="60"/>
      </left>
      <right style="dotted">
        <color auto="1"/>
      </right>
      <top style="medium">
        <color indexed="60"/>
      </top>
      <bottom style="hair">
        <color auto="1"/>
      </bottom>
      <diagonal/>
    </border>
    <border>
      <left style="medium">
        <color indexed="60"/>
      </left>
      <right style="dotted">
        <color auto="1"/>
      </right>
      <top style="hair">
        <color auto="1"/>
      </top>
      <bottom style="hair">
        <color auto="1"/>
      </bottom>
      <diagonal/>
    </border>
    <border>
      <left style="medium">
        <color indexed="60"/>
      </left>
      <right style="dotted">
        <color auto="1"/>
      </right>
      <top style="hair">
        <color auto="1"/>
      </top>
      <bottom style="medium">
        <color indexed="60"/>
      </bottom>
      <diagonal/>
    </border>
    <border>
      <left style="medium">
        <color indexed="62"/>
      </left>
      <right/>
      <top style="medium">
        <color indexed="62"/>
      </top>
      <bottom style="hair">
        <color auto="1"/>
      </bottom>
      <diagonal/>
    </border>
    <border>
      <left style="medium">
        <color indexed="62"/>
      </left>
      <right/>
      <top style="hair">
        <color auto="1"/>
      </top>
      <bottom style="hair">
        <color auto="1"/>
      </bottom>
      <diagonal/>
    </border>
    <border>
      <left style="medium">
        <color indexed="62"/>
      </left>
      <right/>
      <top style="hair">
        <color auto="1"/>
      </top>
      <bottom style="medium">
        <color indexed="62"/>
      </bottom>
      <diagonal/>
    </border>
    <border>
      <left style="medium">
        <color indexed="51"/>
      </left>
      <right style="hair">
        <color auto="1"/>
      </right>
      <top style="medium">
        <color indexed="51"/>
      </top>
      <bottom style="hair">
        <color auto="1"/>
      </bottom>
      <diagonal/>
    </border>
    <border>
      <left style="medium">
        <color indexed="51"/>
      </left>
      <right style="hair">
        <color auto="1"/>
      </right>
      <top style="hair">
        <color auto="1"/>
      </top>
      <bottom style="hair">
        <color auto="1"/>
      </bottom>
      <diagonal/>
    </border>
    <border>
      <left style="medium">
        <color indexed="51"/>
      </left>
      <right/>
      <top/>
      <bottom style="hair">
        <color auto="1"/>
      </bottom>
      <diagonal/>
    </border>
    <border>
      <left style="medium">
        <color indexed="51"/>
      </left>
      <right/>
      <top/>
      <bottom style="thin">
        <color auto="1"/>
      </bottom>
      <diagonal/>
    </border>
    <border>
      <left/>
      <right/>
      <top/>
      <bottom style="thin">
        <color auto="1"/>
      </bottom>
      <diagonal/>
    </border>
    <border>
      <left style="medium">
        <color indexed="51"/>
      </left>
      <right style="medium">
        <color indexed="51"/>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medium">
        <color indexed="5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16"/>
      </left>
      <right style="thin">
        <color indexed="16"/>
      </right>
      <top style="medium">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medium">
        <color indexed="51"/>
      </left>
      <right style="thin">
        <color auto="1"/>
      </right>
      <top style="thin">
        <color auto="1"/>
      </top>
      <bottom style="thin">
        <color auto="1"/>
      </bottom>
      <diagonal/>
    </border>
    <border>
      <left style="medium">
        <color indexed="16"/>
      </left>
      <right style="medium">
        <color indexed="16"/>
      </right>
      <top style="thin">
        <color indexed="16"/>
      </top>
      <bottom/>
      <diagonal/>
    </border>
    <border>
      <left style="medium">
        <color indexed="16"/>
      </left>
      <right style="medium">
        <color indexed="16"/>
      </right>
      <top/>
      <bottom/>
      <diagonal/>
    </border>
    <border>
      <left style="medium">
        <color indexed="16"/>
      </left>
      <right style="medium">
        <color indexed="16"/>
      </right>
      <top/>
      <bottom style="medium">
        <color indexed="16"/>
      </bottom>
      <diagonal/>
    </border>
    <border>
      <left style="medium">
        <color indexed="51"/>
      </left>
      <right style="thin">
        <color auto="1"/>
      </right>
      <top style="thin">
        <color auto="1"/>
      </top>
      <bottom/>
      <diagonal/>
    </border>
    <border>
      <left style="medium">
        <color indexed="51"/>
      </left>
      <right style="thin">
        <color auto="1"/>
      </right>
      <top/>
      <bottom style="thin">
        <color auto="1"/>
      </bottom>
      <diagonal/>
    </border>
    <border>
      <left style="medium">
        <color indexed="51"/>
      </left>
      <right style="medium">
        <color indexed="5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51"/>
      </left>
      <right/>
      <top style="thin">
        <color auto="1"/>
      </top>
      <bottom style="thin">
        <color auto="1"/>
      </bottom>
      <diagonal/>
    </border>
    <border>
      <left/>
      <right style="medium">
        <color indexed="51"/>
      </right>
      <top style="thin">
        <color auto="1"/>
      </top>
      <bottom style="thin">
        <color auto="1"/>
      </bottom>
      <diagonal/>
    </border>
    <border>
      <left style="medium">
        <color indexed="51"/>
      </left>
      <right/>
      <top style="thin">
        <color auto="1"/>
      </top>
      <bottom style="medium">
        <color indexed="51"/>
      </bottom>
      <diagonal/>
    </border>
    <border>
      <left/>
      <right/>
      <top style="thin">
        <color auto="1"/>
      </top>
      <bottom style="medium">
        <color indexed="51"/>
      </bottom>
      <diagonal/>
    </border>
    <border>
      <left/>
      <right style="medium">
        <color indexed="51"/>
      </right>
      <top style="thin">
        <color auto="1"/>
      </top>
      <bottom style="medium">
        <color indexed="51"/>
      </bottom>
      <diagonal/>
    </border>
    <border>
      <left style="medium">
        <color indexed="51"/>
      </left>
      <right style="thin">
        <color auto="1"/>
      </right>
      <top style="thin">
        <color auto="1"/>
      </top>
      <bottom style="medium">
        <color indexed="51"/>
      </bottom>
      <diagonal/>
    </border>
    <border>
      <left style="medium">
        <color indexed="51"/>
      </left>
      <right style="medium">
        <color indexed="51"/>
      </right>
      <top style="thin">
        <color auto="1"/>
      </top>
      <bottom style="medium">
        <color indexed="51"/>
      </bottom>
      <diagonal/>
    </border>
    <border>
      <left/>
      <right style="thin">
        <color auto="1"/>
      </right>
      <top style="thin">
        <color auto="1"/>
      </top>
      <bottom style="medium">
        <color indexed="51"/>
      </bottom>
      <diagonal/>
    </border>
    <border>
      <left style="medium">
        <color indexed="48"/>
      </left>
      <right style="thin">
        <color auto="1"/>
      </right>
      <top style="medium">
        <color indexed="48"/>
      </top>
      <bottom style="thin">
        <color auto="1"/>
      </bottom>
      <diagonal/>
    </border>
    <border>
      <left/>
      <right/>
      <top style="medium">
        <color indexed="60"/>
      </top>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right style="thin">
        <color auto="1"/>
      </right>
      <top/>
      <bottom/>
      <diagonal/>
    </border>
    <border>
      <left style="medium">
        <color indexed="51"/>
      </left>
      <right/>
      <top style="medium">
        <color indexed="51"/>
      </top>
      <bottom style="thin">
        <color auto="1"/>
      </bottom>
      <diagonal/>
    </border>
    <border>
      <left/>
      <right/>
      <top style="medium">
        <color indexed="51"/>
      </top>
      <bottom style="thin">
        <color auto="1"/>
      </bottom>
      <diagonal/>
    </border>
    <border>
      <left/>
      <right style="medium">
        <color indexed="51"/>
      </right>
      <top style="medium">
        <color indexed="51"/>
      </top>
      <bottom style="thin">
        <color auto="1"/>
      </bottom>
      <diagonal/>
    </border>
    <border>
      <left/>
      <right style="medium">
        <color indexed="51"/>
      </right>
      <top/>
      <bottom/>
      <diagonal/>
    </border>
    <border>
      <left style="medium">
        <color indexed="16"/>
      </left>
      <right/>
      <top style="medium">
        <color indexed="16"/>
      </top>
      <bottom style="thin">
        <color indexed="16"/>
      </bottom>
      <diagonal/>
    </border>
    <border>
      <left/>
      <right/>
      <top style="medium">
        <color indexed="16"/>
      </top>
      <bottom style="thin">
        <color indexed="16"/>
      </bottom>
      <diagonal/>
    </border>
    <border>
      <left/>
      <right style="medium">
        <color indexed="16"/>
      </right>
      <top style="medium">
        <color indexed="16"/>
      </top>
      <bottom/>
      <diagonal/>
    </border>
    <border>
      <left style="medium">
        <color indexed="16"/>
      </left>
      <right/>
      <top style="medium">
        <color indexed="16"/>
      </top>
      <bottom style="thin">
        <color auto="1"/>
      </bottom>
      <diagonal/>
    </border>
    <border>
      <left/>
      <right/>
      <top style="medium">
        <color indexed="16"/>
      </top>
      <bottom style="thin">
        <color auto="1"/>
      </bottom>
      <diagonal/>
    </border>
    <border>
      <left/>
      <right style="medium">
        <color indexed="16"/>
      </right>
      <top style="medium">
        <color indexed="16"/>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thin">
        <color auto="1"/>
      </bottom>
      <diagonal/>
    </border>
    <border>
      <left style="thick">
        <color indexed="9"/>
      </left>
      <right/>
      <top/>
      <bottom/>
      <diagonal/>
    </border>
    <border>
      <left style="medium">
        <color indexed="51"/>
      </left>
      <right/>
      <top style="hair">
        <color indexed="51"/>
      </top>
      <bottom style="hair">
        <color indexed="51"/>
      </bottom>
      <diagonal/>
    </border>
    <border>
      <left/>
      <right/>
      <top style="hair">
        <color indexed="51"/>
      </top>
      <bottom style="hair">
        <color indexed="51"/>
      </bottom>
      <diagonal/>
    </border>
    <border>
      <left/>
      <right style="medium">
        <color indexed="51"/>
      </right>
      <top style="hair">
        <color indexed="51"/>
      </top>
      <bottom style="hair">
        <color indexed="51"/>
      </bottom>
      <diagonal/>
    </border>
    <border>
      <left style="medium">
        <color indexed="18"/>
      </left>
      <right/>
      <top style="hair">
        <color indexed="18"/>
      </top>
      <bottom style="medium">
        <color indexed="18"/>
      </bottom>
      <diagonal/>
    </border>
    <border>
      <left/>
      <right/>
      <top style="hair">
        <color indexed="18"/>
      </top>
      <bottom style="medium">
        <color indexed="18"/>
      </bottom>
      <diagonal/>
    </border>
    <border>
      <left/>
      <right style="medium">
        <color indexed="18"/>
      </right>
      <top style="hair">
        <color indexed="18"/>
      </top>
      <bottom style="medium">
        <color indexed="18"/>
      </bottom>
      <diagonal/>
    </border>
    <border>
      <left style="medium">
        <color indexed="18"/>
      </left>
      <right/>
      <top style="hair">
        <color indexed="18"/>
      </top>
      <bottom style="hair">
        <color indexed="18"/>
      </bottom>
      <diagonal/>
    </border>
    <border>
      <left/>
      <right/>
      <top style="hair">
        <color indexed="18"/>
      </top>
      <bottom style="hair">
        <color indexed="18"/>
      </bottom>
      <diagonal/>
    </border>
    <border>
      <left/>
      <right style="medium">
        <color indexed="18"/>
      </right>
      <top style="hair">
        <color indexed="18"/>
      </top>
      <bottom style="hair">
        <color indexed="18"/>
      </bottom>
      <diagonal/>
    </border>
    <border>
      <left style="hair">
        <color auto="1"/>
      </left>
      <right/>
      <top style="hair">
        <color auto="1"/>
      </top>
      <bottom style="hair">
        <color auto="1"/>
      </bottom>
      <diagonal/>
    </border>
    <border>
      <left/>
      <right/>
      <top style="hair">
        <color auto="1"/>
      </top>
      <bottom style="hair">
        <color auto="1"/>
      </bottom>
      <diagonal/>
    </border>
    <border>
      <left/>
      <right style="medium">
        <color indexed="51"/>
      </right>
      <top style="hair">
        <color auto="1"/>
      </top>
      <bottom style="hair">
        <color auto="1"/>
      </bottom>
      <diagonal/>
    </border>
    <border>
      <left/>
      <right/>
      <top/>
      <bottom style="medium">
        <color indexed="52"/>
      </bottom>
      <diagonal/>
    </border>
    <border>
      <left/>
      <right style="medium">
        <color indexed="52"/>
      </right>
      <top/>
      <bottom style="medium">
        <color indexed="52"/>
      </bottom>
      <diagonal/>
    </border>
    <border>
      <left style="medium">
        <color indexed="60"/>
      </left>
      <right/>
      <top style="hair">
        <color auto="1"/>
      </top>
      <bottom style="hair">
        <color auto="1"/>
      </bottom>
      <diagonal/>
    </border>
    <border>
      <left/>
      <right style="medium">
        <color indexed="60"/>
      </right>
      <top style="hair">
        <color auto="1"/>
      </top>
      <bottom style="hair">
        <color auto="1"/>
      </bottom>
      <diagonal/>
    </border>
    <border>
      <left style="medium">
        <color indexed="60"/>
      </left>
      <right/>
      <top/>
      <bottom style="medium">
        <color indexed="60"/>
      </bottom>
      <diagonal/>
    </border>
    <border>
      <left/>
      <right style="medium">
        <color indexed="60"/>
      </right>
      <top/>
      <bottom style="medium">
        <color indexed="60"/>
      </bottom>
      <diagonal/>
    </border>
    <border>
      <left style="medium">
        <color indexed="60"/>
      </left>
      <right/>
      <top style="medium">
        <color indexed="60"/>
      </top>
      <bottom style="medium">
        <color indexed="60"/>
      </bottom>
      <diagonal/>
    </border>
    <border>
      <left/>
      <right/>
      <top style="medium">
        <color indexed="60"/>
      </top>
      <bottom style="medium">
        <color indexed="60"/>
      </bottom>
      <diagonal/>
    </border>
    <border>
      <left/>
      <right style="medium">
        <color indexed="60"/>
      </right>
      <top style="medium">
        <color indexed="60"/>
      </top>
      <bottom style="medium">
        <color indexed="60"/>
      </bottom>
      <diagonal/>
    </border>
    <border>
      <left style="medium">
        <color indexed="18"/>
      </left>
      <right/>
      <top style="medium">
        <color indexed="18"/>
      </top>
      <bottom style="medium">
        <color indexed="18"/>
      </bottom>
      <diagonal/>
    </border>
    <border>
      <left/>
      <right/>
      <top style="medium">
        <color indexed="18"/>
      </top>
      <bottom style="medium">
        <color indexed="18"/>
      </bottom>
      <diagonal/>
    </border>
    <border>
      <left style="medium">
        <color indexed="18"/>
      </left>
      <right/>
      <top style="medium">
        <color indexed="18"/>
      </top>
      <bottom/>
      <diagonal/>
    </border>
    <border>
      <left/>
      <right/>
      <top style="medium">
        <color indexed="18"/>
      </top>
      <bottom/>
      <diagonal/>
    </border>
    <border>
      <left/>
      <right style="medium">
        <color indexed="18"/>
      </right>
      <top style="medium">
        <color indexed="18"/>
      </top>
      <bottom/>
      <diagonal/>
    </border>
    <border>
      <left/>
      <right/>
      <top style="hair">
        <color indexed="23"/>
      </top>
      <bottom style="hair">
        <color indexed="23"/>
      </bottom>
      <diagonal/>
    </border>
    <border>
      <left/>
      <right style="medium">
        <color indexed="62"/>
      </right>
      <top style="hair">
        <color indexed="23"/>
      </top>
      <bottom style="hair">
        <color indexed="23"/>
      </bottom>
      <diagonal/>
    </border>
    <border>
      <left style="medium">
        <color indexed="18"/>
      </left>
      <right/>
      <top style="medium">
        <color indexed="18"/>
      </top>
      <bottom style="hair">
        <color indexed="18"/>
      </bottom>
      <diagonal/>
    </border>
    <border>
      <left/>
      <right/>
      <top style="medium">
        <color indexed="18"/>
      </top>
      <bottom style="hair">
        <color indexed="18"/>
      </bottom>
      <diagonal/>
    </border>
    <border>
      <left/>
      <right style="medium">
        <color indexed="18"/>
      </right>
      <top style="medium">
        <color indexed="18"/>
      </top>
      <bottom style="hair">
        <color indexed="18"/>
      </bottom>
      <diagonal/>
    </border>
    <border>
      <left/>
      <right/>
      <top style="medium">
        <color indexed="62"/>
      </top>
      <bottom style="hair">
        <color indexed="23"/>
      </bottom>
      <diagonal/>
    </border>
    <border>
      <left/>
      <right style="medium">
        <color indexed="62"/>
      </right>
      <top style="medium">
        <color indexed="62"/>
      </top>
      <bottom style="hair">
        <color indexed="23"/>
      </bottom>
      <diagonal/>
    </border>
    <border>
      <left style="medium">
        <color indexed="51"/>
      </left>
      <right/>
      <top style="medium">
        <color indexed="51"/>
      </top>
      <bottom style="medium">
        <color indexed="51"/>
      </bottom>
      <diagonal/>
    </border>
    <border>
      <left/>
      <right/>
      <top style="medium">
        <color indexed="51"/>
      </top>
      <bottom style="medium">
        <color indexed="51"/>
      </bottom>
      <diagonal/>
    </border>
    <border>
      <left/>
      <right style="medium">
        <color indexed="51"/>
      </right>
      <top style="medium">
        <color indexed="51"/>
      </top>
      <bottom style="medium">
        <color indexed="51"/>
      </bottom>
      <diagonal/>
    </border>
    <border>
      <left style="hair">
        <color auto="1"/>
      </left>
      <right/>
      <top style="medium">
        <color indexed="51"/>
      </top>
      <bottom style="hair">
        <color auto="1"/>
      </bottom>
      <diagonal/>
    </border>
    <border>
      <left/>
      <right/>
      <top style="medium">
        <color indexed="51"/>
      </top>
      <bottom style="hair">
        <color auto="1"/>
      </bottom>
      <diagonal/>
    </border>
    <border>
      <left/>
      <right style="medium">
        <color indexed="51"/>
      </right>
      <top style="medium">
        <color indexed="51"/>
      </top>
      <bottom style="hair">
        <color auto="1"/>
      </bottom>
      <diagonal/>
    </border>
    <border>
      <left style="medium">
        <color indexed="51"/>
      </left>
      <right/>
      <top style="hair">
        <color indexed="51"/>
      </top>
      <bottom style="medium">
        <color indexed="51"/>
      </bottom>
      <diagonal/>
    </border>
    <border>
      <left/>
      <right/>
      <top style="hair">
        <color indexed="51"/>
      </top>
      <bottom style="medium">
        <color indexed="51"/>
      </bottom>
      <diagonal/>
    </border>
    <border>
      <left/>
      <right style="medium">
        <color indexed="51"/>
      </right>
      <top style="hair">
        <color indexed="51"/>
      </top>
      <bottom style="medium">
        <color indexed="51"/>
      </bottom>
      <diagonal/>
    </border>
    <border>
      <left/>
      <right style="medium">
        <color indexed="60"/>
      </right>
      <top style="hair">
        <color indexed="23"/>
      </top>
      <bottom style="hair">
        <color indexed="23"/>
      </bottom>
      <diagonal/>
    </border>
    <border>
      <left style="medium">
        <color indexed="60"/>
      </left>
      <right/>
      <top/>
      <bottom style="hair">
        <color auto="1"/>
      </bottom>
      <diagonal/>
    </border>
    <border>
      <left/>
      <right/>
      <top/>
      <bottom style="hair">
        <color auto="1"/>
      </bottom>
      <diagonal/>
    </border>
    <border>
      <left/>
      <right style="medium">
        <color indexed="60"/>
      </right>
      <top/>
      <bottom style="hair">
        <color auto="1"/>
      </bottom>
      <diagonal/>
    </border>
    <border>
      <left/>
      <right/>
      <top style="hair">
        <color indexed="23"/>
      </top>
      <bottom style="medium">
        <color indexed="60"/>
      </bottom>
      <diagonal/>
    </border>
    <border>
      <left/>
      <right style="medium">
        <color indexed="60"/>
      </right>
      <top style="hair">
        <color indexed="23"/>
      </top>
      <bottom style="medium">
        <color indexed="60"/>
      </bottom>
      <diagonal/>
    </border>
    <border>
      <left/>
      <right/>
      <top style="hair">
        <color indexed="23"/>
      </top>
      <bottom style="medium">
        <color indexed="62"/>
      </bottom>
      <diagonal/>
    </border>
    <border>
      <left/>
      <right style="medium">
        <color indexed="62"/>
      </right>
      <top style="hair">
        <color indexed="23"/>
      </top>
      <bottom style="medium">
        <color indexed="62"/>
      </bottom>
      <diagonal/>
    </border>
    <border>
      <left style="medium">
        <color indexed="51"/>
      </left>
      <right/>
      <top style="medium">
        <color indexed="51"/>
      </top>
      <bottom style="hair">
        <color indexed="51"/>
      </bottom>
      <diagonal/>
    </border>
    <border>
      <left/>
      <right/>
      <top style="medium">
        <color indexed="51"/>
      </top>
      <bottom style="hair">
        <color indexed="51"/>
      </bottom>
      <diagonal/>
    </border>
    <border>
      <left/>
      <right style="medium">
        <color indexed="51"/>
      </right>
      <top style="medium">
        <color indexed="51"/>
      </top>
      <bottom style="hair">
        <color indexed="51"/>
      </bottom>
      <diagonal/>
    </border>
    <border>
      <left style="medium">
        <color indexed="57"/>
      </left>
      <right style="hair">
        <color indexed="57"/>
      </right>
      <top style="medium">
        <color indexed="57"/>
      </top>
      <bottom style="medium">
        <color indexed="57"/>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medium">
        <color auto="1"/>
      </left>
      <right/>
      <top style="medium">
        <color indexed="57"/>
      </top>
      <bottom/>
      <diagonal/>
    </border>
    <border>
      <left/>
      <right/>
      <top style="medium">
        <color indexed="57"/>
      </top>
      <bottom/>
      <diagonal/>
    </border>
    <border>
      <left/>
      <right style="medium">
        <color auto="1"/>
      </right>
      <top style="medium">
        <color indexed="57"/>
      </top>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hair">
        <color auto="1"/>
      </top>
      <bottom style="hair">
        <color auto="1"/>
      </bottom>
      <diagonal/>
    </border>
    <border>
      <left/>
      <right style="medium">
        <color auto="1"/>
      </right>
      <top style="hair">
        <color auto="1"/>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style="hair">
        <color auto="1"/>
      </right>
      <top/>
      <bottom style="hair">
        <color auto="1"/>
      </bottom>
      <diagonal/>
    </border>
    <border>
      <left style="hair">
        <color auto="1"/>
      </left>
      <right style="medium">
        <color auto="1"/>
      </right>
      <top style="hair">
        <color auto="1"/>
      </top>
      <bottom style="hair">
        <color auto="1"/>
      </bottom>
      <diagonal/>
    </border>
    <border>
      <left style="hair">
        <color auto="1"/>
      </left>
      <right style="medium">
        <color auto="1"/>
      </right>
      <top/>
      <bottom style="hair">
        <color auto="1"/>
      </bottom>
      <diagonal/>
    </border>
    <border>
      <left style="hair">
        <color indexed="57"/>
      </left>
      <right style="medium">
        <color indexed="57"/>
      </right>
      <top style="medium">
        <color indexed="57"/>
      </top>
      <bottom style="medium">
        <color indexed="57"/>
      </bottom>
      <diagonal/>
    </border>
    <border>
      <left style="hair">
        <color auto="1"/>
      </left>
      <right style="medium">
        <color auto="1"/>
      </right>
      <top style="hair">
        <color auto="1"/>
      </top>
      <bottom style="medium">
        <color auto="1"/>
      </bottom>
      <diagonal/>
    </border>
    <border>
      <left style="medium">
        <color auto="1"/>
      </left>
      <right/>
      <top style="hair">
        <color auto="1"/>
      </top>
      <bottom/>
      <diagonal/>
    </border>
    <border>
      <left/>
      <right/>
      <top style="hair">
        <color auto="1"/>
      </top>
      <bottom/>
      <diagonal/>
    </border>
    <border>
      <left/>
      <right style="hair">
        <color auto="1"/>
      </right>
      <top style="hair">
        <color auto="1"/>
      </top>
      <bottom/>
      <diagonal/>
    </border>
    <border>
      <left/>
      <right style="hair">
        <color auto="1"/>
      </right>
      <top/>
      <bottom style="hair">
        <color auto="1"/>
      </bottom>
      <diagonal/>
    </border>
    <border>
      <left style="medium">
        <color indexed="60"/>
      </left>
      <right style="thin">
        <color indexed="60"/>
      </right>
      <top/>
      <bottom/>
      <diagonal/>
    </border>
  </borders>
  <cellStyleXfs count="128">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3"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3"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8" borderId="0" applyNumberFormat="0" applyBorder="0" applyAlignment="0" applyProtection="0"/>
    <xf numFmtId="0" fontId="16" fillId="6" borderId="0" applyNumberFormat="0" applyBorder="0" applyAlignment="0" applyProtection="0"/>
    <xf numFmtId="0" fontId="16" fillId="10" borderId="0" applyNumberFormat="0" applyBorder="0" applyAlignment="0" applyProtection="0"/>
    <xf numFmtId="0" fontId="16" fillId="3" borderId="0" applyNumberFormat="0" applyBorder="0" applyAlignment="0" applyProtection="0"/>
    <xf numFmtId="0" fontId="16" fillId="10"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0" borderId="0" applyNumberFormat="0" applyBorder="0" applyAlignment="0" applyProtection="0"/>
    <xf numFmtId="0" fontId="16" fillId="15" borderId="0" applyNumberFormat="0" applyBorder="0" applyAlignment="0" applyProtection="0"/>
    <xf numFmtId="0" fontId="6" fillId="16" borderId="0" applyNumberFormat="0" applyBorder="0" applyAlignment="0" applyProtection="0"/>
    <xf numFmtId="0" fontId="10" fillId="2" borderId="1" applyNumberFormat="0" applyAlignment="0" applyProtection="0"/>
    <xf numFmtId="0" fontId="12" fillId="17" borderId="2" applyNumberFormat="0" applyAlignment="0" applyProtection="0"/>
    <xf numFmtId="43" fontId="4" fillId="0" borderId="0" applyFont="0" applyFill="0" applyBorder="0" applyAlignment="0" applyProtection="0"/>
    <xf numFmtId="165" fontId="4" fillId="0" borderId="0" applyFont="0" applyFill="0" applyBorder="0" applyAlignment="0" applyProtection="0"/>
    <xf numFmtId="170" fontId="3" fillId="0" borderId="0" applyFont="0" applyFill="0" applyBorder="0" applyAlignment="0" applyProtection="0"/>
    <xf numFmtId="0" fontId="14" fillId="0" borderId="0" applyNumberFormat="0" applyFill="0" applyBorder="0" applyAlignment="0" applyProtection="0"/>
    <xf numFmtId="0" fontId="5" fillId="18" borderId="0" applyNumberFormat="0" applyBorder="0" applyAlignment="0" applyProtection="0"/>
    <xf numFmtId="0" fontId="75" fillId="0" borderId="3" applyNumberFormat="0" applyFill="0" applyAlignment="0" applyProtection="0"/>
    <xf numFmtId="0" fontId="76" fillId="0" borderId="4" applyNumberFormat="0" applyFill="0" applyAlignment="0" applyProtection="0"/>
    <xf numFmtId="0" fontId="42" fillId="0" borderId="5" applyNumberFormat="0" applyFill="0" applyAlignment="0" applyProtection="0"/>
    <xf numFmtId="0" fontId="42" fillId="0" borderId="0" applyNumberFormat="0" applyFill="0" applyBorder="0" applyAlignment="0" applyProtection="0"/>
    <xf numFmtId="0" fontId="8" fillId="3" borderId="1" applyNumberFormat="0" applyAlignment="0" applyProtection="0"/>
    <xf numFmtId="0" fontId="11" fillId="0" borderId="6" applyNumberFormat="0" applyFill="0" applyAlignment="0" applyProtection="0"/>
    <xf numFmtId="43" fontId="3" fillId="0" borderId="0" applyFill="0" applyBorder="0" applyAlignment="0" applyProtection="0"/>
    <xf numFmtId="43" fontId="13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2" fillId="0" borderId="0"/>
    <xf numFmtId="43" fontId="2" fillId="0" borderId="0"/>
    <xf numFmtId="43" fontId="134" fillId="0" borderId="0"/>
    <xf numFmtId="43" fontId="134" fillId="0" borderId="0"/>
    <xf numFmtId="43" fontId="134" fillId="0" borderId="0"/>
    <xf numFmtId="43" fontId="134" fillId="0" borderId="0"/>
    <xf numFmtId="0" fontId="68" fillId="0" borderId="0"/>
    <xf numFmtId="0" fontId="3" fillId="4" borderId="7" applyNumberFormat="0" applyFont="0" applyAlignment="0" applyProtection="0"/>
    <xf numFmtId="0" fontId="9" fillId="2" borderId="8" applyNumberFormat="0" applyAlignment="0" applyProtection="0"/>
    <xf numFmtId="9" fontId="4" fillId="0" borderId="0" applyFont="0" applyFill="0" applyBorder="0" applyAlignment="0" applyProtection="0"/>
    <xf numFmtId="0" fontId="43" fillId="0" borderId="0" applyNumberFormat="0" applyFill="0" applyBorder="0" applyAlignment="0" applyProtection="0"/>
    <xf numFmtId="43" fontId="134" fillId="0" borderId="9" applyNumberFormat="0" applyFill="0" applyAlignment="0" applyProtection="0"/>
    <xf numFmtId="43" fontId="2" fillId="0" borderId="9" applyNumberFormat="0" applyFill="0" applyAlignment="0" applyProtection="0"/>
    <xf numFmtId="43" fontId="2" fillId="0" borderId="9" applyNumberFormat="0" applyFill="0" applyAlignment="0" applyProtection="0"/>
    <xf numFmtId="43" fontId="134" fillId="0" borderId="9" applyNumberFormat="0" applyFill="0" applyAlignment="0" applyProtection="0"/>
    <xf numFmtId="0" fontId="77" fillId="0" borderId="0" applyNumberFormat="0" applyFill="0" applyBorder="0" applyAlignment="0" applyProtection="0"/>
    <xf numFmtId="0" fontId="135" fillId="0" borderId="0" applyNumberFormat="0" applyFill="0" applyBorder="0" applyAlignment="0" applyProtection="0"/>
    <xf numFmtId="0" fontId="136" fillId="0" borderId="0" applyNumberFormat="0" applyFill="0" applyBorder="0" applyAlignment="0" applyProtection="0"/>
    <xf numFmtId="0" fontId="135" fillId="0" borderId="0" applyNumberFormat="0" applyFill="0" applyBorder="0" applyAlignment="0" applyProtection="0"/>
    <xf numFmtId="0" fontId="136" fillId="0" borderId="0" applyNumberFormat="0" applyFill="0" applyBorder="0" applyAlignment="0" applyProtection="0"/>
    <xf numFmtId="43" fontId="134" fillId="0" borderId="0" applyFont="0" applyFill="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3"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6" borderId="0" applyNumberFormat="0" applyBorder="0" applyAlignment="0" applyProtection="0"/>
    <xf numFmtId="0" fontId="1" fillId="9" borderId="0" applyNumberFormat="0" applyBorder="0" applyAlignment="0" applyProtection="0"/>
    <xf numFmtId="0" fontId="1" fillId="3"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8" borderId="0" applyNumberFormat="0" applyBorder="0" applyAlignment="0" applyProtection="0"/>
    <xf numFmtId="0" fontId="16" fillId="6" borderId="0" applyNumberFormat="0" applyBorder="0" applyAlignment="0" applyProtection="0"/>
    <xf numFmtId="0" fontId="16" fillId="10" borderId="0" applyNumberFormat="0" applyBorder="0" applyAlignment="0" applyProtection="0"/>
    <xf numFmtId="0" fontId="16" fillId="3" borderId="0" applyNumberFormat="0" applyBorder="0" applyAlignment="0" applyProtection="0"/>
    <xf numFmtId="0" fontId="16" fillId="10"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0" borderId="0" applyNumberFormat="0" applyBorder="0" applyAlignment="0" applyProtection="0"/>
    <xf numFmtId="0" fontId="16" fillId="15" borderId="0" applyNumberFormat="0" applyBorder="0" applyAlignment="0" applyProtection="0"/>
    <xf numFmtId="0" fontId="6" fillId="16" borderId="0" applyNumberFormat="0" applyBorder="0" applyAlignment="0" applyProtection="0"/>
    <xf numFmtId="0" fontId="10" fillId="2" borderId="1" applyNumberFormat="0" applyAlignment="0" applyProtection="0"/>
    <xf numFmtId="0" fontId="12" fillId="17" borderId="2" applyNumberFormat="0" applyAlignment="0" applyProtection="0"/>
    <xf numFmtId="43" fontId="1" fillId="0" borderId="0" applyFont="0" applyFill="0" applyBorder="0" applyAlignment="0" applyProtection="0"/>
    <xf numFmtId="165" fontId="1" fillId="0" borderId="0" applyFont="0" applyFill="0" applyBorder="0" applyAlignment="0" applyProtection="0"/>
    <xf numFmtId="0" fontId="14" fillId="0" borderId="0" applyNumberFormat="0" applyFill="0" applyBorder="0" applyAlignment="0" applyProtection="0"/>
    <xf numFmtId="0" fontId="5" fillId="18" borderId="0" applyNumberFormat="0" applyBorder="0" applyAlignment="0" applyProtection="0"/>
    <xf numFmtId="0" fontId="75" fillId="0" borderId="3" applyNumberFormat="0" applyFill="0" applyAlignment="0" applyProtection="0"/>
    <xf numFmtId="0" fontId="76" fillId="0" borderId="4" applyNumberFormat="0" applyFill="0" applyAlignment="0" applyProtection="0"/>
    <xf numFmtId="0" fontId="42" fillId="0" borderId="5" applyNumberFormat="0" applyFill="0" applyAlignment="0" applyProtection="0"/>
    <xf numFmtId="0" fontId="42" fillId="0" borderId="0" applyNumberFormat="0" applyFill="0" applyBorder="0" applyAlignment="0" applyProtection="0"/>
    <xf numFmtId="0" fontId="8" fillId="3" borderId="1" applyNumberFormat="0" applyAlignment="0" applyProtection="0"/>
    <xf numFmtId="0" fontId="11" fillId="0" borderId="6" applyNumberFormat="0" applyFill="0" applyAlignment="0" applyProtection="0"/>
    <xf numFmtId="0" fontId="3" fillId="4" borderId="7" applyNumberFormat="0" applyFont="0" applyAlignment="0" applyProtection="0"/>
    <xf numFmtId="0" fontId="9" fillId="2" borderId="8" applyNumberFormat="0" applyAlignment="0" applyProtection="0"/>
    <xf numFmtId="9" fontId="1" fillId="0" borderId="0" applyFont="0" applyFill="0" applyBorder="0" applyAlignment="0" applyProtection="0"/>
    <xf numFmtId="0" fontId="43" fillId="0" borderId="0" applyNumberFormat="0" applyFill="0" applyBorder="0" applyAlignment="0" applyProtection="0"/>
    <xf numFmtId="0" fontId="77" fillId="0" borderId="0" applyNumberFormat="0" applyFill="0" applyBorder="0" applyAlignment="0" applyProtection="0"/>
    <xf numFmtId="5"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4" fillId="0" borderId="0" applyFont="0" applyFill="0" applyBorder="0" applyAlignment="0" applyProtection="0"/>
    <xf numFmtId="175" fontId="3" fillId="0" borderId="0" applyFont="0" applyFill="0" applyBorder="0" applyAlignment="0" applyProtection="0"/>
    <xf numFmtId="43" fontId="134" fillId="0" borderId="0" applyFont="0" applyFill="0" applyBorder="0" applyAlignment="0" applyProtection="0"/>
    <xf numFmtId="0" fontId="3" fillId="0" borderId="0"/>
    <xf numFmtId="0" fontId="134" fillId="0" borderId="0"/>
    <xf numFmtId="0" fontId="134" fillId="0" borderId="0"/>
    <xf numFmtId="0" fontId="134" fillId="0" borderId="0"/>
    <xf numFmtId="0" fontId="134" fillId="0" borderId="0"/>
    <xf numFmtId="9" fontId="3" fillId="0" borderId="0" applyFont="0" applyFill="0" applyBorder="0" applyAlignment="0" applyProtection="0"/>
    <xf numFmtId="9" fontId="134" fillId="0" borderId="0" applyFont="0" applyFill="0" applyBorder="0" applyAlignment="0" applyProtection="0"/>
    <xf numFmtId="0" fontId="138" fillId="0" borderId="0" applyNumberFormat="0" applyFill="0" applyBorder="0" applyAlignment="0" applyProtection="0">
      <alignment vertical="top"/>
      <protection locked="0"/>
    </xf>
    <xf numFmtId="43" fontId="134" fillId="0" borderId="0" applyFont="0" applyFill="0" applyBorder="0" applyAlignment="0" applyProtection="0"/>
    <xf numFmtId="43" fontId="134" fillId="0" borderId="0" applyFont="0" applyFill="0" applyBorder="0" applyAlignment="0" applyProtection="0"/>
  </cellStyleXfs>
  <cellXfs count="962">
    <xf numFmtId="0" fontId="0" fillId="0" borderId="0" xfId="0"/>
    <xf numFmtId="43" fontId="17" fillId="0" borderId="0" xfId="40" applyFont="1" applyFill="1" applyAlignment="1">
      <alignment vertical="center"/>
    </xf>
    <xf numFmtId="0" fontId="0" fillId="0" borderId="0" xfId="0" applyBorder="1" applyProtection="1"/>
    <xf numFmtId="0" fontId="0" fillId="0" borderId="0" xfId="0" applyProtection="1"/>
    <xf numFmtId="43" fontId="23" fillId="0" borderId="0" xfId="40" applyFont="1" applyFill="1" applyAlignment="1" applyProtection="1">
      <alignment vertical="center"/>
    </xf>
    <xf numFmtId="0" fontId="22" fillId="0" borderId="0" xfId="0" applyFont="1" applyProtection="1"/>
    <xf numFmtId="43" fontId="20" fillId="0" borderId="0" xfId="51" applyFont="1" applyFill="1" applyAlignment="1" applyProtection="1"/>
    <xf numFmtId="43" fontId="20" fillId="0" borderId="0" xfId="51" applyFont="1" applyFill="1" applyAlignment="1" applyProtection="1">
      <alignment horizontal="center"/>
    </xf>
    <xf numFmtId="43" fontId="20" fillId="0" borderId="0" xfId="51" applyFont="1" applyFill="1" applyAlignment="1" applyProtection="1">
      <alignment horizontal="right"/>
    </xf>
    <xf numFmtId="43" fontId="20" fillId="0" borderId="0" xfId="51" applyFont="1" applyFill="1" applyBorder="1" applyAlignment="1" applyProtection="1">
      <alignment horizontal="center"/>
    </xf>
    <xf numFmtId="43" fontId="134" fillId="0" borderId="0" xfId="50" applyProtection="1"/>
    <xf numFmtId="43" fontId="16" fillId="0" borderId="0" xfId="50" applyFont="1" applyProtection="1"/>
    <xf numFmtId="0" fontId="19" fillId="0" borderId="0" xfId="50" applyNumberFormat="1" applyFont="1" applyBorder="1" applyProtection="1"/>
    <xf numFmtId="43" fontId="134" fillId="0" borderId="0" xfId="52" applyProtection="1"/>
    <xf numFmtId="43" fontId="134" fillId="0" borderId="0" xfId="52" applyFill="1" applyBorder="1" applyAlignment="1" applyProtection="1">
      <alignment horizontal="left"/>
    </xf>
    <xf numFmtId="0" fontId="0" fillId="0" borderId="0" xfId="0" applyFill="1" applyBorder="1" applyProtection="1"/>
    <xf numFmtId="43" fontId="134" fillId="0" borderId="0" xfId="52" applyFill="1" applyBorder="1" applyProtection="1"/>
    <xf numFmtId="0" fontId="16" fillId="0" borderId="0" xfId="0" applyFont="1" applyProtection="1"/>
    <xf numFmtId="43" fontId="16" fillId="0" borderId="0" xfId="52" applyFont="1" applyProtection="1"/>
    <xf numFmtId="0" fontId="0" fillId="0" borderId="0" xfId="0" applyBorder="1"/>
    <xf numFmtId="0" fontId="0" fillId="0" borderId="0" xfId="0" applyFill="1" applyBorder="1"/>
    <xf numFmtId="0" fontId="35" fillId="0" borderId="0" xfId="0" applyFont="1"/>
    <xf numFmtId="15" fontId="30" fillId="0" borderId="0" xfId="0" applyNumberFormat="1" applyFont="1" applyFill="1" applyBorder="1" applyAlignment="1" applyProtection="1">
      <alignment horizontal="center" vertical="center" wrapText="1"/>
      <protection locked="0"/>
    </xf>
    <xf numFmtId="43" fontId="29" fillId="0" borderId="0" xfId="0" applyNumberFormat="1" applyFont="1"/>
    <xf numFmtId="43" fontId="29" fillId="0" borderId="0" xfId="0" applyNumberFormat="1" applyFont="1" applyAlignment="1">
      <alignment horizontal="right"/>
    </xf>
    <xf numFmtId="166" fontId="29" fillId="0" borderId="0" xfId="28" applyNumberFormat="1" applyFont="1" applyAlignment="1">
      <alignment horizontal="left"/>
    </xf>
    <xf numFmtId="43" fontId="17" fillId="0" borderId="0" xfId="49" applyFont="1" applyFill="1" applyAlignment="1">
      <alignment vertical="center"/>
    </xf>
    <xf numFmtId="0" fontId="0" fillId="0" borderId="10" xfId="0" applyBorder="1" applyAlignment="1">
      <alignment horizontal="center"/>
    </xf>
    <xf numFmtId="0" fontId="15" fillId="0" borderId="0" xfId="0" applyFont="1" applyBorder="1" applyAlignment="1">
      <alignment horizontal="center"/>
    </xf>
    <xf numFmtId="0" fontId="2" fillId="0" borderId="0" xfId="0" applyFont="1" applyBorder="1" applyAlignment="1"/>
    <xf numFmtId="0" fontId="2" fillId="0" borderId="0" xfId="0" applyFont="1" applyFill="1" applyBorder="1" applyAlignment="1"/>
    <xf numFmtId="0" fontId="44" fillId="0" borderId="0" xfId="0" applyFont="1"/>
    <xf numFmtId="0" fontId="44" fillId="0" borderId="0" xfId="0" applyFont="1" applyAlignment="1">
      <alignment horizontal="right"/>
    </xf>
    <xf numFmtId="0" fontId="44" fillId="0" borderId="0" xfId="0" applyFont="1" applyBorder="1"/>
    <xf numFmtId="0" fontId="47" fillId="0" borderId="0" xfId="0" applyFont="1"/>
    <xf numFmtId="0" fontId="44" fillId="0" borderId="0" xfId="0" applyNumberFormat="1" applyFont="1" applyBorder="1"/>
    <xf numFmtId="0" fontId="0" fillId="0" borderId="0" xfId="0" applyFill="1"/>
    <xf numFmtId="10" fontId="7" fillId="0" borderId="0" xfId="57" applyNumberFormat="1" applyFont="1" applyFill="1" applyBorder="1" applyAlignment="1">
      <alignment horizontal="center"/>
    </xf>
    <xf numFmtId="10" fontId="7" fillId="0" borderId="0" xfId="57" applyNumberFormat="1" applyFont="1" applyFill="1" applyBorder="1" applyAlignment="1" applyProtection="1">
      <alignment horizontal="center"/>
      <protection locked="0"/>
    </xf>
    <xf numFmtId="43" fontId="29" fillId="0" borderId="0" xfId="0" applyNumberFormat="1" applyFont="1" applyFill="1" applyBorder="1" applyAlignment="1"/>
    <xf numFmtId="43" fontId="134" fillId="0" borderId="0" xfId="62" applyFill="1" applyBorder="1" applyAlignment="1" applyProtection="1">
      <alignment vertical="center"/>
      <protection locked="0"/>
    </xf>
    <xf numFmtId="164" fontId="33" fillId="0" borderId="0" xfId="0" applyNumberFormat="1" applyFont="1" applyFill="1" applyBorder="1" applyAlignment="1">
      <alignment horizontal="center"/>
    </xf>
    <xf numFmtId="0" fontId="27" fillId="0" borderId="0" xfId="0" applyFont="1" applyFill="1" applyBorder="1" applyAlignment="1">
      <alignment horizontal="centerContinuous"/>
    </xf>
    <xf numFmtId="0" fontId="0" fillId="0" borderId="0" xfId="0" applyFill="1" applyBorder="1" applyAlignment="1">
      <alignment horizontal="centerContinuous"/>
    </xf>
    <xf numFmtId="43" fontId="40" fillId="0" borderId="0" xfId="62" applyFont="1" applyFill="1" applyBorder="1" applyAlignment="1" applyProtection="1">
      <alignment vertical="center"/>
      <protection locked="0"/>
    </xf>
    <xf numFmtId="0" fontId="0" fillId="0" borderId="10" xfId="0" applyBorder="1"/>
    <xf numFmtId="0" fontId="0" fillId="0" borderId="0" xfId="0" applyFill="1" applyBorder="1" applyAlignment="1">
      <alignment horizontal="center"/>
    </xf>
    <xf numFmtId="22" fontId="0" fillId="0" borderId="0" xfId="0" applyNumberFormat="1"/>
    <xf numFmtId="2" fontId="0" fillId="0" borderId="0" xfId="0" applyNumberFormat="1" applyFill="1"/>
    <xf numFmtId="2" fontId="134" fillId="0" borderId="0" xfId="59" applyNumberFormat="1" applyFill="1" applyBorder="1" applyAlignment="1" applyProtection="1">
      <alignment horizontal="center"/>
      <protection locked="0"/>
    </xf>
    <xf numFmtId="0" fontId="16" fillId="0" borderId="0" xfId="0" applyFont="1" applyFill="1" applyBorder="1" applyAlignment="1" applyProtection="1">
      <alignment horizontal="center"/>
    </xf>
    <xf numFmtId="0" fontId="24" fillId="0" borderId="0" xfId="0" applyFont="1" applyFill="1" applyAlignment="1" applyProtection="1"/>
    <xf numFmtId="0" fontId="16" fillId="0" borderId="0" xfId="0" applyFont="1" applyAlignment="1" applyProtection="1">
      <alignment horizontal="left" indent="1"/>
    </xf>
    <xf numFmtId="0" fontId="19" fillId="0" borderId="0" xfId="0" applyFont="1" applyAlignment="1" applyProtection="1">
      <alignment horizontal="left" indent="1"/>
    </xf>
    <xf numFmtId="0" fontId="16" fillId="0" borderId="0" xfId="0" applyFont="1" applyFill="1" applyBorder="1" applyProtection="1"/>
    <xf numFmtId="43" fontId="70" fillId="0" borderId="0" xfId="50" applyFont="1" applyProtection="1"/>
    <xf numFmtId="43" fontId="70" fillId="0" borderId="0" xfId="52" applyFont="1" applyProtection="1"/>
    <xf numFmtId="0" fontId="70" fillId="0" borderId="10" xfId="0" applyFont="1" applyFill="1" applyBorder="1" applyAlignment="1" applyProtection="1">
      <alignment horizontal="center"/>
    </xf>
    <xf numFmtId="0" fontId="70" fillId="0" borderId="10" xfId="0" applyFont="1" applyFill="1" applyBorder="1" applyProtection="1"/>
    <xf numFmtId="43" fontId="70" fillId="0" borderId="10" xfId="52" applyFont="1" applyBorder="1" applyProtection="1"/>
    <xf numFmtId="0" fontId="71" fillId="0" borderId="10" xfId="0" applyFont="1" applyBorder="1" applyAlignment="1" applyProtection="1">
      <alignment horizontal="left" indent="1"/>
    </xf>
    <xf numFmtId="0" fontId="72" fillId="0" borderId="10" xfId="0" applyFont="1" applyBorder="1"/>
    <xf numFmtId="0" fontId="73" fillId="19" borderId="10" xfId="0" applyFont="1" applyFill="1" applyBorder="1" applyAlignment="1" applyProtection="1">
      <alignment horizontal="center"/>
    </xf>
    <xf numFmtId="0" fontId="73" fillId="19" borderId="10" xfId="0" applyFont="1" applyFill="1" applyBorder="1" applyAlignment="1">
      <alignment horizontal="center"/>
    </xf>
    <xf numFmtId="0" fontId="22" fillId="0" borderId="0" xfId="0" applyFont="1"/>
    <xf numFmtId="3" fontId="16" fillId="20" borderId="11" xfId="0" applyNumberFormat="1" applyFont="1" applyFill="1" applyBorder="1" applyAlignment="1">
      <alignment horizontal="right"/>
    </xf>
    <xf numFmtId="3" fontId="16" fillId="20" borderId="11" xfId="28" applyNumberFormat="1" applyFont="1" applyFill="1" applyBorder="1"/>
    <xf numFmtId="9" fontId="16" fillId="20" borderId="11" xfId="57" applyFont="1" applyFill="1" applyBorder="1"/>
    <xf numFmtId="9" fontId="16" fillId="20" borderId="11" xfId="57" applyNumberFormat="1" applyFont="1" applyFill="1" applyBorder="1"/>
    <xf numFmtId="0" fontId="16" fillId="20" borderId="11" xfId="0" applyFont="1" applyFill="1" applyBorder="1"/>
    <xf numFmtId="9" fontId="16" fillId="20" borderId="11" xfId="57" applyFont="1" applyFill="1" applyBorder="1" applyAlignment="1">
      <alignment horizontal="center"/>
    </xf>
    <xf numFmtId="0" fontId="16" fillId="0" borderId="0" xfId="0" applyFont="1"/>
    <xf numFmtId="0" fontId="34" fillId="0" borderId="0" xfId="0" applyFont="1" applyAlignment="1">
      <alignment horizontal="center"/>
    </xf>
    <xf numFmtId="43" fontId="62" fillId="0" borderId="0" xfId="49" applyFont="1" applyFill="1" applyAlignment="1">
      <alignment vertical="center"/>
    </xf>
    <xf numFmtId="0" fontId="15" fillId="0" borderId="0" xfId="0" applyFont="1"/>
    <xf numFmtId="0" fontId="47" fillId="0" borderId="0" xfId="0" applyFont="1" applyFill="1"/>
    <xf numFmtId="0" fontId="80" fillId="19" borderId="12" xfId="0" applyFont="1" applyFill="1" applyBorder="1" applyAlignment="1">
      <alignment vertical="center"/>
    </xf>
    <xf numFmtId="0" fontId="78" fillId="0" borderId="0" xfId="54" applyNumberFormat="1" applyFont="1" applyFill="1" applyBorder="1" applyAlignment="1">
      <alignment horizontal="center" vertical="center" wrapText="1"/>
    </xf>
    <xf numFmtId="0" fontId="78" fillId="21" borderId="13" xfId="54" applyNumberFormat="1" applyFont="1" applyFill="1" applyBorder="1" applyAlignment="1">
      <alignment horizontal="center" vertical="center" wrapText="1"/>
    </xf>
    <xf numFmtId="15" fontId="0" fillId="0" borderId="0" xfId="0" applyNumberFormat="1" applyFont="1" applyFill="1" applyBorder="1" applyAlignment="1">
      <alignment horizontal="center"/>
    </xf>
    <xf numFmtId="1" fontId="22" fillId="0" borderId="0" xfId="0" applyNumberFormat="1" applyFont="1" applyFill="1" applyBorder="1" applyAlignment="1">
      <alignment horizontal="center"/>
    </xf>
    <xf numFmtId="1" fontId="83" fillId="20" borderId="0" xfId="0" applyNumberFormat="1" applyFont="1" applyFill="1" applyBorder="1" applyAlignment="1">
      <alignment horizontal="center"/>
    </xf>
    <xf numFmtId="0" fontId="83" fillId="0" borderId="0" xfId="0" applyFont="1" applyFill="1" applyBorder="1" applyAlignment="1" applyProtection="1">
      <alignment horizontal="left"/>
    </xf>
    <xf numFmtId="0" fontId="84" fillId="0" borderId="0" xfId="0" applyFont="1"/>
    <xf numFmtId="43" fontId="40" fillId="0" borderId="0" xfId="62" applyFont="1" applyFill="1" applyBorder="1" applyAlignment="1" applyProtection="1">
      <alignment horizontal="center" vertical="center"/>
      <protection locked="0"/>
    </xf>
    <xf numFmtId="15" fontId="0" fillId="0" borderId="0" xfId="0" applyNumberFormat="1"/>
    <xf numFmtId="0" fontId="0" fillId="0" borderId="10" xfId="0" quotePrefix="1" applyNumberFormat="1" applyBorder="1"/>
    <xf numFmtId="43" fontId="32" fillId="0" borderId="14" xfId="62" applyFont="1" applyBorder="1" applyAlignment="1" applyProtection="1"/>
    <xf numFmtId="43" fontId="134" fillId="0" borderId="14" xfId="62" applyFill="1" applyBorder="1" applyAlignment="1" applyProtection="1">
      <alignment vertical="center"/>
    </xf>
    <xf numFmtId="43" fontId="4" fillId="0" borderId="14" xfId="62" applyFont="1" applyFill="1" applyBorder="1" applyAlignment="1" applyProtection="1">
      <alignment vertical="center"/>
    </xf>
    <xf numFmtId="43" fontId="32" fillId="0" borderId="0" xfId="62" applyFont="1" applyBorder="1" applyAlignment="1" applyProtection="1"/>
    <xf numFmtId="43" fontId="134" fillId="0" borderId="0" xfId="62" applyFill="1" applyBorder="1" applyAlignment="1" applyProtection="1">
      <alignment vertical="center"/>
    </xf>
    <xf numFmtId="43" fontId="4" fillId="0" borderId="0" xfId="62" applyFont="1" applyFill="1" applyBorder="1" applyAlignment="1" applyProtection="1">
      <alignment vertical="center"/>
    </xf>
    <xf numFmtId="0" fontId="33" fillId="0" borderId="15" xfId="0" applyFont="1" applyBorder="1" applyAlignment="1" applyProtection="1">
      <alignment horizontal="center"/>
    </xf>
    <xf numFmtId="15" fontId="33" fillId="0" borderId="16" xfId="0" applyNumberFormat="1" applyFont="1" applyBorder="1" applyAlignment="1" applyProtection="1">
      <alignment horizontal="center"/>
    </xf>
    <xf numFmtId="0" fontId="33" fillId="0" borderId="17" xfId="0" applyFont="1" applyBorder="1" applyAlignment="1" applyProtection="1">
      <alignment horizontal="center"/>
    </xf>
    <xf numFmtId="166" fontId="16" fillId="0" borderId="0" xfId="0" applyNumberFormat="1" applyFont="1" applyFill="1" applyBorder="1" applyAlignment="1" applyProtection="1"/>
    <xf numFmtId="10" fontId="7" fillId="0" borderId="0" xfId="57" applyNumberFormat="1" applyFont="1" applyFill="1" applyBorder="1" applyAlignment="1" applyProtection="1">
      <alignment horizontal="center"/>
    </xf>
    <xf numFmtId="0" fontId="7" fillId="0" borderId="0" xfId="0" applyFont="1" applyFill="1" applyBorder="1" applyAlignment="1" applyProtection="1"/>
    <xf numFmtId="0" fontId="27" fillId="0" borderId="0" xfId="0" applyFont="1" applyFill="1" applyBorder="1" applyAlignment="1" applyProtection="1">
      <alignment horizontal="centerContinuous" wrapText="1"/>
    </xf>
    <xf numFmtId="0" fontId="27" fillId="0" borderId="0" xfId="0" applyFont="1" applyFill="1" applyBorder="1" applyAlignment="1" applyProtection="1">
      <alignment horizontal="centerContinuous"/>
    </xf>
    <xf numFmtId="0" fontId="0" fillId="0" borderId="0" xfId="0" applyFill="1" applyBorder="1" applyAlignment="1" applyProtection="1">
      <alignment horizontal="centerContinuous"/>
    </xf>
    <xf numFmtId="15" fontId="27" fillId="0" borderId="18" xfId="0" applyNumberFormat="1" applyFont="1" applyFill="1" applyBorder="1" applyAlignment="1" applyProtection="1"/>
    <xf numFmtId="0" fontId="27" fillId="0" borderId="18" xfId="0" applyFont="1" applyFill="1" applyBorder="1" applyProtection="1"/>
    <xf numFmtId="0" fontId="27" fillId="0" borderId="19" xfId="0" applyFont="1" applyFill="1" applyBorder="1" applyProtection="1"/>
    <xf numFmtId="43" fontId="39" fillId="0" borderId="20" xfId="62" applyFont="1" applyBorder="1" applyAlignment="1" applyProtection="1"/>
    <xf numFmtId="43" fontId="40" fillId="0" borderId="20" xfId="62" applyFont="1" applyFill="1" applyBorder="1" applyAlignment="1" applyProtection="1">
      <alignment vertical="center"/>
    </xf>
    <xf numFmtId="43" fontId="40" fillId="0" borderId="20" xfId="62" applyFont="1" applyFill="1" applyBorder="1" applyAlignment="1" applyProtection="1">
      <alignment horizontal="center" vertical="center"/>
    </xf>
    <xf numFmtId="43" fontId="40" fillId="0" borderId="0" xfId="62" applyFont="1" applyFill="1" applyBorder="1" applyAlignment="1" applyProtection="1">
      <alignment vertical="center"/>
    </xf>
    <xf numFmtId="43" fontId="39" fillId="0" borderId="0" xfId="62" applyFont="1" applyBorder="1" applyAlignment="1" applyProtection="1"/>
    <xf numFmtId="43" fontId="41" fillId="0" borderId="0" xfId="62" applyFont="1" applyFill="1" applyBorder="1" applyAlignment="1" applyProtection="1">
      <alignment vertical="center"/>
    </xf>
    <xf numFmtId="0" fontId="15" fillId="0" borderId="0" xfId="0" applyFont="1" applyBorder="1" applyAlignment="1" applyProtection="1">
      <alignment horizontal="center"/>
    </xf>
    <xf numFmtId="0" fontId="0" fillId="0" borderId="21" xfId="0" applyBorder="1" applyAlignment="1" applyProtection="1">
      <alignment horizontal="center"/>
    </xf>
    <xf numFmtId="0" fontId="15" fillId="0" borderId="21" xfId="0" applyFont="1" applyBorder="1" applyAlignment="1" applyProtection="1">
      <alignment horizontal="center"/>
    </xf>
    <xf numFmtId="0" fontId="15" fillId="0" borderId="21" xfId="0" applyFont="1" applyBorder="1" applyAlignment="1" applyProtection="1">
      <alignment horizontal="center" wrapText="1"/>
    </xf>
    <xf numFmtId="0" fontId="15" fillId="0" borderId="22" xfId="0" applyFont="1" applyBorder="1" applyAlignment="1" applyProtection="1">
      <alignment horizontal="center"/>
    </xf>
    <xf numFmtId="0" fontId="15" fillId="0" borderId="23" xfId="0" applyFont="1" applyBorder="1" applyAlignment="1" applyProtection="1">
      <alignment horizontal="center"/>
    </xf>
    <xf numFmtId="1" fontId="22" fillId="20" borderId="24" xfId="0" applyNumberFormat="1" applyFont="1" applyFill="1" applyBorder="1" applyAlignment="1" applyProtection="1">
      <alignment horizontal="center"/>
    </xf>
    <xf numFmtId="0" fontId="15" fillId="0" borderId="25" xfId="0" applyFont="1" applyBorder="1" applyAlignment="1" applyProtection="1">
      <alignment horizontal="center"/>
    </xf>
    <xf numFmtId="1" fontId="22" fillId="20" borderId="26" xfId="0" applyNumberFormat="1" applyFont="1" applyFill="1" applyBorder="1" applyAlignment="1" applyProtection="1">
      <alignment horizontal="center"/>
    </xf>
    <xf numFmtId="0" fontId="0" fillId="0" borderId="27" xfId="0" applyBorder="1" applyProtection="1"/>
    <xf numFmtId="0" fontId="0" fillId="0" borderId="22" xfId="0" applyBorder="1" applyAlignment="1" applyProtection="1">
      <alignment horizontal="center"/>
    </xf>
    <xf numFmtId="0" fontId="0" fillId="0" borderId="25" xfId="0" applyBorder="1" applyAlignment="1" applyProtection="1">
      <alignment horizontal="center"/>
    </xf>
    <xf numFmtId="0" fontId="33" fillId="0" borderId="21" xfId="0" applyFont="1" applyBorder="1" applyAlignment="1" applyProtection="1">
      <alignment horizontal="center"/>
    </xf>
    <xf numFmtId="0" fontId="33" fillId="0" borderId="22" xfId="0" applyFont="1" applyBorder="1" applyAlignment="1" applyProtection="1">
      <alignment horizontal="center"/>
    </xf>
    <xf numFmtId="0" fontId="0" fillId="0" borderId="0" xfId="0" applyFill="1" applyBorder="1" applyAlignment="1" applyProtection="1">
      <alignment horizontal="center" wrapText="1"/>
    </xf>
    <xf numFmtId="43" fontId="95" fillId="0" borderId="0" xfId="28" applyFont="1" applyFill="1" applyBorder="1" applyProtection="1"/>
    <xf numFmtId="43" fontId="0" fillId="0" borderId="0" xfId="0" applyNumberFormat="1" applyFill="1" applyBorder="1" applyProtection="1"/>
    <xf numFmtId="43" fontId="69" fillId="0" borderId="28" xfId="62" applyFont="1" applyFill="1" applyBorder="1" applyAlignment="1" applyProtection="1"/>
    <xf numFmtId="43" fontId="40" fillId="0" borderId="28" xfId="62" applyFont="1" applyFill="1" applyBorder="1" applyAlignment="1" applyProtection="1">
      <alignment vertical="center"/>
    </xf>
    <xf numFmtId="0" fontId="68" fillId="0" borderId="29" xfId="0" applyFont="1" applyFill="1" applyBorder="1" applyProtection="1"/>
    <xf numFmtId="0" fontId="68" fillId="0" borderId="30" xfId="0" applyFont="1" applyFill="1" applyBorder="1" applyProtection="1"/>
    <xf numFmtId="43" fontId="29" fillId="0" borderId="0" xfId="0" applyNumberFormat="1" applyFont="1" applyAlignment="1" applyProtection="1">
      <alignment horizontal="right"/>
    </xf>
    <xf numFmtId="166" fontId="29" fillId="0" borderId="0" xfId="28" applyNumberFormat="1" applyFont="1" applyAlignment="1" applyProtection="1">
      <alignment horizontal="left"/>
    </xf>
    <xf numFmtId="15" fontId="29" fillId="0" borderId="0" xfId="0" applyNumberFormat="1" applyFont="1" applyAlignment="1" applyProtection="1">
      <alignment horizontal="left"/>
    </xf>
    <xf numFmtId="15" fontId="29" fillId="0" borderId="0" xfId="0" applyNumberFormat="1" applyFont="1" applyAlignment="1" applyProtection="1">
      <alignment horizontal="right"/>
    </xf>
    <xf numFmtId="43" fontId="29" fillId="0" borderId="0" xfId="0" applyNumberFormat="1" applyFont="1" applyProtection="1"/>
    <xf numFmtId="43" fontId="29" fillId="0" borderId="0" xfId="0" applyNumberFormat="1" applyFont="1" applyBorder="1" applyProtection="1"/>
    <xf numFmtId="43" fontId="29" fillId="0" borderId="0" xfId="0" applyNumberFormat="1" applyFont="1" applyBorder="1" applyAlignment="1" applyProtection="1">
      <alignment horizontal="right"/>
    </xf>
    <xf numFmtId="166" fontId="29" fillId="0" borderId="0" xfId="28" applyNumberFormat="1" applyFont="1" applyBorder="1" applyAlignment="1" applyProtection="1">
      <alignment horizontal="left"/>
    </xf>
    <xf numFmtId="0" fontId="20" fillId="0" borderId="0" xfId="0" applyFont="1" applyBorder="1" applyAlignment="1" applyProtection="1">
      <alignment horizontal="center"/>
    </xf>
    <xf numFmtId="0" fontId="20" fillId="0" borderId="0" xfId="0" applyFont="1" applyAlignment="1" applyProtection="1">
      <alignment horizontal="center"/>
    </xf>
    <xf numFmtId="0" fontId="35" fillId="0" borderId="0" xfId="0" applyFont="1" applyBorder="1" applyProtection="1"/>
    <xf numFmtId="0" fontId="35" fillId="0" borderId="10" xfId="0" applyFont="1" applyBorder="1" applyAlignment="1" applyProtection="1">
      <alignment horizontal="center" vertical="center" wrapText="1"/>
    </xf>
    <xf numFmtId="3" fontId="29" fillId="0" borderId="10" xfId="0" applyNumberFormat="1" applyFont="1" applyBorder="1" applyAlignment="1" applyProtection="1">
      <alignment vertical="center" wrapText="1"/>
    </xf>
    <xf numFmtId="15" fontId="27" fillId="0" borderId="0" xfId="0" applyNumberFormat="1" applyFont="1" applyFill="1" applyBorder="1" applyAlignment="1" applyProtection="1"/>
    <xf numFmtId="15" fontId="27" fillId="0" borderId="0" xfId="0" applyNumberFormat="1" applyFont="1" applyFill="1" applyBorder="1" applyAlignment="1" applyProtection="1">
      <alignment horizontal="center" wrapText="1"/>
    </xf>
    <xf numFmtId="0" fontId="27" fillId="0" borderId="0" xfId="0" applyFont="1" applyFill="1" applyBorder="1" applyProtection="1"/>
    <xf numFmtId="0" fontId="0" fillId="0" borderId="0" xfId="0" applyFill="1" applyBorder="1" applyAlignment="1" applyProtection="1">
      <alignment horizontal="center"/>
    </xf>
    <xf numFmtId="0" fontId="27" fillId="0" borderId="0" xfId="0" applyFont="1" applyFill="1" applyBorder="1" applyAlignment="1" applyProtection="1"/>
    <xf numFmtId="0" fontId="0" fillId="0" borderId="22" xfId="0" applyBorder="1" applyAlignment="1" applyProtection="1">
      <alignment horizontal="center" wrapText="1"/>
    </xf>
    <xf numFmtId="0" fontId="44" fillId="0" borderId="0" xfId="0" applyFont="1" applyProtection="1"/>
    <xf numFmtId="0" fontId="44" fillId="0" borderId="0" xfId="0" applyFont="1" applyAlignment="1" applyProtection="1">
      <alignment horizontal="right"/>
    </xf>
    <xf numFmtId="0" fontId="44" fillId="0" borderId="0" xfId="0" applyFont="1" applyBorder="1" applyProtection="1"/>
    <xf numFmtId="0" fontId="46" fillId="0" borderId="0" xfId="0" applyFont="1" applyBorder="1" applyAlignment="1" applyProtection="1">
      <alignment horizontal="left" vertical="center"/>
    </xf>
    <xf numFmtId="0" fontId="46" fillId="0" borderId="0" xfId="0" applyFont="1" applyBorder="1" applyAlignment="1" applyProtection="1">
      <alignment horizontal="left"/>
    </xf>
    <xf numFmtId="167" fontId="46" fillId="0" borderId="0" xfId="0" applyNumberFormat="1" applyFont="1" applyBorder="1" applyAlignment="1" applyProtection="1">
      <alignment horizontal="left"/>
    </xf>
    <xf numFmtId="0" fontId="47" fillId="0" borderId="0" xfId="0" applyFont="1" applyProtection="1"/>
    <xf numFmtId="0" fontId="48" fillId="0" borderId="0" xfId="0" applyFont="1" applyFill="1" applyBorder="1" applyProtection="1"/>
    <xf numFmtId="0" fontId="49" fillId="0" borderId="0" xfId="0" applyFont="1" applyFill="1" applyBorder="1" applyProtection="1"/>
    <xf numFmtId="0" fontId="51" fillId="0" borderId="0" xfId="0" applyFont="1" applyFill="1" applyBorder="1" applyAlignment="1" applyProtection="1">
      <alignment horizontal="right"/>
    </xf>
    <xf numFmtId="0" fontId="52" fillId="0" borderId="0" xfId="0" applyFont="1" applyFill="1" applyBorder="1" applyAlignment="1" applyProtection="1">
      <alignment horizontal="center"/>
    </xf>
    <xf numFmtId="0" fontId="35" fillId="0" borderId="0" xfId="0" applyFont="1" applyBorder="1" applyAlignment="1" applyProtection="1">
      <alignment horizontal="center" vertical="center"/>
    </xf>
    <xf numFmtId="0" fontId="53" fillId="20" borderId="0" xfId="0" applyFont="1" applyFill="1" applyBorder="1" applyAlignment="1" applyProtection="1">
      <alignment horizontal="left" vertical="center"/>
    </xf>
    <xf numFmtId="3" fontId="58" fillId="0" borderId="0" xfId="0" applyNumberFormat="1" applyFont="1" applyFill="1" applyBorder="1" applyAlignment="1" applyProtection="1">
      <alignment horizontal="right" vertical="center"/>
    </xf>
    <xf numFmtId="0" fontId="59" fillId="20" borderId="0" xfId="0" applyFont="1" applyFill="1" applyBorder="1" applyAlignment="1" applyProtection="1">
      <alignment horizontal="left" vertical="center"/>
    </xf>
    <xf numFmtId="169" fontId="53" fillId="20" borderId="0" xfId="0" applyNumberFormat="1" applyFont="1" applyFill="1" applyBorder="1" applyAlignment="1" applyProtection="1">
      <alignment vertical="center"/>
    </xf>
    <xf numFmtId="0" fontId="54" fillId="20" borderId="0" xfId="0" applyNumberFormat="1" applyFont="1" applyFill="1" applyBorder="1" applyAlignment="1" applyProtection="1">
      <alignment horizontal="right"/>
    </xf>
    <xf numFmtId="0" fontId="64" fillId="20" borderId="0" xfId="0" applyFont="1" applyFill="1" applyBorder="1" applyAlignment="1" applyProtection="1">
      <alignment horizontal="center" vertical="center"/>
    </xf>
    <xf numFmtId="0" fontId="55" fillId="20" borderId="0" xfId="0" applyFont="1" applyFill="1" applyBorder="1" applyAlignment="1" applyProtection="1">
      <alignment horizontal="center" vertical="center"/>
    </xf>
    <xf numFmtId="168" fontId="53" fillId="20" borderId="0" xfId="57" applyNumberFormat="1" applyFont="1" applyFill="1" applyBorder="1" applyAlignment="1" applyProtection="1">
      <alignment horizontal="right"/>
    </xf>
    <xf numFmtId="9" fontId="56" fillId="20" borderId="0" xfId="0" applyNumberFormat="1" applyFont="1" applyFill="1" applyBorder="1" applyProtection="1"/>
    <xf numFmtId="0" fontId="57" fillId="20" borderId="0" xfId="0" applyFont="1" applyFill="1" applyBorder="1" applyAlignment="1" applyProtection="1">
      <alignment horizontal="center" vertical="center"/>
    </xf>
    <xf numFmtId="9" fontId="56" fillId="20" borderId="0" xfId="0" applyNumberFormat="1" applyFont="1" applyFill="1" applyBorder="1" applyAlignment="1" applyProtection="1">
      <alignment horizontal="left"/>
    </xf>
    <xf numFmtId="0" fontId="65" fillId="0" borderId="0" xfId="0" applyFont="1" applyFill="1" applyBorder="1" applyAlignment="1" applyProtection="1">
      <alignment horizontal="center" vertical="center"/>
    </xf>
    <xf numFmtId="0" fontId="50" fillId="0" borderId="0" xfId="0" applyFont="1" applyFill="1" applyBorder="1" applyAlignment="1" applyProtection="1">
      <alignment horizontal="center" vertical="center"/>
    </xf>
    <xf numFmtId="0" fontId="50" fillId="0" borderId="0" xfId="0" applyFont="1" applyFill="1" applyBorder="1" applyAlignment="1" applyProtection="1">
      <alignment horizontal="right" vertical="center" indent="1"/>
    </xf>
    <xf numFmtId="0" fontId="54" fillId="0" borderId="31" xfId="0" applyNumberFormat="1" applyFont="1" applyFill="1" applyBorder="1" applyAlignment="1" applyProtection="1">
      <alignment horizontal="right"/>
    </xf>
    <xf numFmtId="0" fontId="54" fillId="0" borderId="32" xfId="0" applyNumberFormat="1" applyFont="1" applyFill="1" applyBorder="1" applyAlignment="1" applyProtection="1">
      <alignment horizontal="right"/>
    </xf>
    <xf numFmtId="0" fontId="54" fillId="0" borderId="33" xfId="0" applyNumberFormat="1" applyFont="1" applyFill="1" applyBorder="1" applyAlignment="1" applyProtection="1">
      <alignment horizontal="right"/>
    </xf>
    <xf numFmtId="0" fontId="63" fillId="0" borderId="0" xfId="0" applyFont="1" applyFill="1" applyBorder="1" applyAlignment="1" applyProtection="1">
      <alignment horizontal="center"/>
    </xf>
    <xf numFmtId="0" fontId="54" fillId="0" borderId="0" xfId="0" applyNumberFormat="1" applyFont="1" applyFill="1" applyBorder="1" applyAlignment="1" applyProtection="1">
      <alignment horizontal="right"/>
    </xf>
    <xf numFmtId="0" fontId="64" fillId="0" borderId="0" xfId="0" applyFont="1" applyFill="1" applyBorder="1" applyAlignment="1" applyProtection="1">
      <alignment horizontal="center" vertical="center"/>
    </xf>
    <xf numFmtId="9" fontId="67" fillId="0" borderId="0" xfId="0" applyNumberFormat="1" applyFont="1" applyFill="1" applyBorder="1" applyAlignment="1" applyProtection="1"/>
    <xf numFmtId="9" fontId="67" fillId="0" borderId="0" xfId="0" applyNumberFormat="1" applyFont="1" applyFill="1" applyBorder="1" applyAlignment="1" applyProtection="1">
      <alignment horizontal="center"/>
    </xf>
    <xf numFmtId="0" fontId="54" fillId="0" borderId="34" xfId="0" applyNumberFormat="1" applyFont="1" applyFill="1" applyBorder="1" applyAlignment="1" applyProtection="1">
      <alignment horizontal="right"/>
    </xf>
    <xf numFmtId="9" fontId="56" fillId="0" borderId="0" xfId="0" applyNumberFormat="1" applyFont="1" applyFill="1" applyBorder="1" applyProtection="1"/>
    <xf numFmtId="0" fontId="54" fillId="0" borderId="35" xfId="0" applyNumberFormat="1" applyFont="1" applyFill="1" applyBorder="1" applyAlignment="1" applyProtection="1">
      <alignment horizontal="right"/>
    </xf>
    <xf numFmtId="0" fontId="54" fillId="0" borderId="36" xfId="0" applyNumberFormat="1" applyFont="1" applyFill="1" applyBorder="1" applyAlignment="1" applyProtection="1">
      <alignment horizontal="right"/>
    </xf>
    <xf numFmtId="0" fontId="35" fillId="0" borderId="37" xfId="0" applyNumberFormat="1" applyFont="1" applyFill="1" applyBorder="1" applyAlignment="1" applyProtection="1">
      <alignment vertical="center"/>
    </xf>
    <xf numFmtId="0" fontId="35" fillId="0" borderId="38" xfId="0" applyNumberFormat="1" applyFont="1" applyFill="1" applyBorder="1" applyAlignment="1" applyProtection="1">
      <alignment vertical="center"/>
    </xf>
    <xf numFmtId="0" fontId="35" fillId="0" borderId="39" xfId="0" applyNumberFormat="1" applyFont="1" applyFill="1" applyBorder="1" applyAlignment="1" applyProtection="1">
      <alignment vertical="center"/>
    </xf>
    <xf numFmtId="0" fontId="45" fillId="0" borderId="0" xfId="0" applyFont="1" applyProtection="1"/>
    <xf numFmtId="0" fontId="66" fillId="0" borderId="0" xfId="0" applyFont="1" applyProtection="1"/>
    <xf numFmtId="0" fontId="60" fillId="0" borderId="0" xfId="0" applyFont="1" applyProtection="1"/>
    <xf numFmtId="0" fontId="74" fillId="0" borderId="0" xfId="0" applyFont="1" applyBorder="1" applyAlignment="1" applyProtection="1">
      <alignment wrapText="1"/>
    </xf>
    <xf numFmtId="0" fontId="70" fillId="0" borderId="0" xfId="0" applyFont="1" applyFill="1" applyBorder="1" applyAlignment="1" applyProtection="1"/>
    <xf numFmtId="43" fontId="16" fillId="0" borderId="0" xfId="0" applyNumberFormat="1" applyFont="1"/>
    <xf numFmtId="0" fontId="29" fillId="0" borderId="0" xfId="0" applyNumberFormat="1" applyFont="1" applyAlignment="1" applyProtection="1">
      <alignment horizontal="center"/>
    </xf>
    <xf numFmtId="0" fontId="29" fillId="0" borderId="0" xfId="0" applyFont="1" applyAlignment="1" applyProtection="1">
      <alignment horizontal="center"/>
    </xf>
    <xf numFmtId="15" fontId="29" fillId="0" borderId="0" xfId="0" applyNumberFormat="1" applyFont="1" applyAlignment="1" applyProtection="1">
      <alignment horizontal="center"/>
    </xf>
    <xf numFmtId="43" fontId="0" fillId="0" borderId="0" xfId="0" applyNumberFormat="1" applyAlignment="1" applyProtection="1">
      <alignment horizontal="right"/>
    </xf>
    <xf numFmtId="3" fontId="0" fillId="0" borderId="0" xfId="0" applyNumberFormat="1" applyProtection="1"/>
    <xf numFmtId="43" fontId="38" fillId="0" borderId="0" xfId="0" applyNumberFormat="1" applyFont="1" applyBorder="1" applyProtection="1"/>
    <xf numFmtId="43" fontId="38" fillId="0" borderId="0" xfId="0" applyNumberFormat="1" applyFont="1" applyProtection="1"/>
    <xf numFmtId="166" fontId="7" fillId="0" borderId="0" xfId="28" applyNumberFormat="1" applyFont="1" applyFill="1" applyBorder="1" applyAlignment="1" applyProtection="1">
      <protection locked="0"/>
    </xf>
    <xf numFmtId="166" fontId="7" fillId="0" borderId="0" xfId="28" applyNumberFormat="1" applyFont="1" applyFill="1" applyBorder="1" applyProtection="1">
      <protection locked="0"/>
    </xf>
    <xf numFmtId="0" fontId="0" fillId="0" borderId="0" xfId="0" applyBorder="1" applyAlignment="1">
      <alignment horizontal="center"/>
    </xf>
    <xf numFmtId="0" fontId="16" fillId="20" borderId="0" xfId="0" applyFont="1" applyFill="1"/>
    <xf numFmtId="164" fontId="16" fillId="20" borderId="0" xfId="0" applyNumberFormat="1" applyFont="1" applyFill="1"/>
    <xf numFmtId="166" fontId="16" fillId="20" borderId="0" xfId="0" applyNumberFormat="1" applyFont="1" applyFill="1"/>
    <xf numFmtId="3" fontId="16" fillId="20" borderId="0" xfId="0" applyNumberFormat="1" applyFont="1" applyFill="1" applyProtection="1"/>
    <xf numFmtId="164" fontId="16" fillId="20" borderId="0" xfId="0" applyNumberFormat="1" applyFont="1" applyFill="1" applyProtection="1"/>
    <xf numFmtId="0" fontId="35" fillId="0" borderId="0" xfId="0" applyFont="1" applyFill="1" applyAlignment="1" applyProtection="1">
      <alignment horizontal="left"/>
      <protection locked="0"/>
    </xf>
    <xf numFmtId="0" fontId="35" fillId="0" borderId="0" xfId="0" applyFont="1" applyFill="1" applyBorder="1" applyAlignment="1" applyProtection="1">
      <alignment horizontal="left"/>
      <protection locked="0"/>
    </xf>
    <xf numFmtId="0" fontId="29" fillId="0" borderId="0" xfId="0" applyFont="1" applyFill="1" applyBorder="1" applyAlignment="1">
      <alignment vertical="center" wrapText="1"/>
    </xf>
    <xf numFmtId="0" fontId="29" fillId="0" borderId="0" xfId="0" applyFont="1" applyFill="1" applyBorder="1" applyAlignment="1">
      <alignment horizontal="center"/>
    </xf>
    <xf numFmtId="0" fontId="0" fillId="20" borderId="0" xfId="0" applyFill="1" applyBorder="1" applyAlignment="1">
      <alignment horizontal="center"/>
    </xf>
    <xf numFmtId="0" fontId="29" fillId="0" borderId="40" xfId="0" applyFont="1" applyFill="1" applyBorder="1" applyAlignment="1" applyProtection="1">
      <alignment horizontal="center" wrapText="1"/>
    </xf>
    <xf numFmtId="0" fontId="29" fillId="0" borderId="41" xfId="0" applyFont="1" applyFill="1" applyBorder="1" applyAlignment="1" applyProtection="1">
      <alignment horizontal="center" wrapText="1"/>
    </xf>
    <xf numFmtId="0" fontId="0" fillId="0" borderId="41" xfId="0" applyBorder="1" applyProtection="1"/>
    <xf numFmtId="43" fontId="18" fillId="0" borderId="0" xfId="48" applyFont="1" applyFill="1" applyAlignment="1" applyProtection="1">
      <alignment horizontal="center" vertical="center"/>
    </xf>
    <xf numFmtId="43" fontId="17" fillId="0" borderId="0" xfId="48" applyFont="1" applyFill="1" applyAlignment="1" applyProtection="1">
      <alignment vertical="center"/>
    </xf>
    <xf numFmtId="0" fontId="85" fillId="0" borderId="0" xfId="0" applyFont="1"/>
    <xf numFmtId="43" fontId="15" fillId="0" borderId="0" xfId="0" applyNumberFormat="1" applyFont="1" applyAlignment="1" applyProtection="1">
      <alignment horizontal="center"/>
    </xf>
    <xf numFmtId="0" fontId="13" fillId="0" borderId="0" xfId="0" applyFont="1"/>
    <xf numFmtId="0" fontId="0" fillId="20" borderId="0" xfId="0" applyFill="1" applyProtection="1"/>
    <xf numFmtId="0" fontId="0" fillId="20" borderId="42" xfId="0" applyFill="1" applyBorder="1" applyProtection="1"/>
    <xf numFmtId="43" fontId="88" fillId="0" borderId="0" xfId="0" applyNumberFormat="1" applyFont="1"/>
    <xf numFmtId="0" fontId="88" fillId="0" borderId="0" xfId="0" applyFont="1"/>
    <xf numFmtId="43" fontId="0" fillId="0" borderId="0" xfId="0" quotePrefix="1" applyNumberFormat="1"/>
    <xf numFmtId="43" fontId="0" fillId="0" borderId="0" xfId="0" applyNumberFormat="1"/>
    <xf numFmtId="0" fontId="35" fillId="0" borderId="43" xfId="0" applyNumberFormat="1" applyFont="1" applyFill="1" applyBorder="1" applyAlignment="1" applyProtection="1">
      <alignment vertical="center"/>
    </xf>
    <xf numFmtId="43" fontId="134" fillId="0" borderId="0" xfId="53" applyFill="1" applyBorder="1" applyAlignment="1" applyProtection="1">
      <alignment horizontal="center"/>
    </xf>
    <xf numFmtId="0" fontId="35" fillId="0" borderId="0" xfId="0" quotePrefix="1" applyFont="1" applyProtection="1"/>
    <xf numFmtId="43" fontId="90" fillId="0" borderId="28" xfId="62" applyFont="1" applyFill="1" applyBorder="1" applyAlignment="1" applyProtection="1"/>
    <xf numFmtId="43" fontId="10" fillId="0" borderId="28" xfId="62" applyFont="1" applyFill="1" applyBorder="1" applyAlignment="1" applyProtection="1">
      <alignment vertical="center"/>
    </xf>
    <xf numFmtId="3" fontId="68" fillId="22" borderId="10" xfId="0" applyNumberFormat="1" applyFont="1" applyFill="1" applyBorder="1" applyAlignment="1" applyProtection="1">
      <alignment vertical="center"/>
      <protection locked="0"/>
    </xf>
    <xf numFmtId="0" fontId="68" fillId="23" borderId="10" xfId="0" applyFont="1" applyFill="1" applyBorder="1" applyProtection="1"/>
    <xf numFmtId="0" fontId="3" fillId="0" borderId="44" xfId="0" applyFont="1" applyFill="1" applyBorder="1" applyAlignment="1" applyProtection="1">
      <alignment horizontal="center"/>
    </xf>
    <xf numFmtId="0" fontId="68" fillId="0" borderId="10" xfId="0" applyFont="1" applyFill="1" applyBorder="1" applyAlignment="1" applyProtection="1">
      <alignment horizontal="center"/>
    </xf>
    <xf numFmtId="0" fontId="68" fillId="23" borderId="10" xfId="0" applyFont="1" applyFill="1" applyBorder="1" applyAlignment="1" applyProtection="1">
      <alignment horizontal="center"/>
    </xf>
    <xf numFmtId="0" fontId="2" fillId="0" borderId="0" xfId="0" applyFont="1"/>
    <xf numFmtId="0" fontId="91" fillId="0" borderId="0" xfId="0" applyFont="1"/>
    <xf numFmtId="43" fontId="92" fillId="0" borderId="28" xfId="62" applyFont="1" applyFill="1" applyBorder="1" applyAlignment="1" applyProtection="1">
      <alignment vertical="center"/>
    </xf>
    <xf numFmtId="15" fontId="37" fillId="0" borderId="0" xfId="0" applyNumberFormat="1" applyFont="1" applyAlignment="1" applyProtection="1">
      <alignment horizontal="center"/>
    </xf>
    <xf numFmtId="1" fontId="22" fillId="24" borderId="10" xfId="0" applyNumberFormat="1" applyFont="1" applyFill="1" applyBorder="1" applyAlignment="1" applyProtection="1">
      <alignment horizontal="center"/>
      <protection locked="0"/>
    </xf>
    <xf numFmtId="1" fontId="22" fillId="24" borderId="45" xfId="0" applyNumberFormat="1" applyFont="1" applyFill="1" applyBorder="1" applyAlignment="1" applyProtection="1">
      <alignment horizontal="center"/>
      <protection locked="0"/>
    </xf>
    <xf numFmtId="1" fontId="0" fillId="24" borderId="10" xfId="0" applyNumberFormat="1" applyFill="1" applyBorder="1" applyAlignment="1" applyProtection="1">
      <alignment horizontal="center"/>
      <protection locked="0"/>
    </xf>
    <xf numFmtId="166" fontId="0" fillId="0" borderId="0" xfId="0" applyNumberFormat="1" applyProtection="1"/>
    <xf numFmtId="43" fontId="21" fillId="0" borderId="0" xfId="51" applyFont="1" applyFill="1" applyAlignment="1" applyProtection="1">
      <alignment horizontal="right" vertical="center"/>
    </xf>
    <xf numFmtId="0" fontId="97" fillId="0" borderId="0" xfId="0" applyFont="1" applyFill="1" applyBorder="1" applyAlignment="1" applyProtection="1">
      <alignment horizontal="right"/>
    </xf>
    <xf numFmtId="43" fontId="98" fillId="0" borderId="14" xfId="62" applyFont="1" applyFill="1" applyBorder="1" applyAlignment="1" applyProtection="1">
      <alignment horizontal="left" vertical="center"/>
    </xf>
    <xf numFmtId="0" fontId="99" fillId="0" borderId="0" xfId="0" applyFont="1" applyFill="1" applyBorder="1" applyProtection="1"/>
    <xf numFmtId="0" fontId="97" fillId="0" borderId="0" xfId="0" applyFont="1" applyBorder="1" applyProtection="1"/>
    <xf numFmtId="15" fontId="96" fillId="0" borderId="0" xfId="0" applyNumberFormat="1" applyFont="1" applyFill="1" applyBorder="1" applyAlignment="1" applyProtection="1">
      <alignment horizontal="left"/>
    </xf>
    <xf numFmtId="0" fontId="101" fillId="0" borderId="0" xfId="0" applyFont="1" applyFill="1" applyBorder="1" applyAlignment="1" applyProtection="1">
      <alignment horizontal="center" wrapText="1"/>
    </xf>
    <xf numFmtId="3" fontId="3" fillId="22" borderId="10" xfId="0" applyNumberFormat="1" applyFont="1" applyFill="1" applyBorder="1" applyAlignment="1" applyProtection="1">
      <alignment vertical="center"/>
      <protection locked="0"/>
    </xf>
    <xf numFmtId="0" fontId="0" fillId="0" borderId="0" xfId="0" quotePrefix="1" applyProtection="1"/>
    <xf numFmtId="15" fontId="33" fillId="0" borderId="46" xfId="0" applyNumberFormat="1" applyFont="1" applyBorder="1" applyAlignment="1" applyProtection="1">
      <alignment horizontal="center"/>
    </xf>
    <xf numFmtId="15" fontId="30" fillId="0" borderId="0" xfId="0" applyNumberFormat="1" applyFont="1" applyFill="1" applyBorder="1" applyAlignment="1" applyProtection="1">
      <alignment horizontal="center" vertical="center" wrapText="1"/>
    </xf>
    <xf numFmtId="0" fontId="78" fillId="0" borderId="47" xfId="0" applyFont="1" applyFill="1" applyBorder="1" applyAlignment="1" applyProtection="1">
      <alignment horizontal="center" vertical="center"/>
    </xf>
    <xf numFmtId="0" fontId="107" fillId="0" borderId="0" xfId="0" applyFont="1" applyBorder="1" applyAlignment="1" applyProtection="1">
      <alignment horizontal="right"/>
    </xf>
    <xf numFmtId="0" fontId="107" fillId="0" borderId="0" xfId="0" applyFont="1" applyAlignment="1" applyProtection="1">
      <alignment horizontal="right"/>
    </xf>
    <xf numFmtId="0" fontId="107" fillId="0" borderId="48" xfId="0" applyFont="1" applyBorder="1" applyAlignment="1" applyProtection="1">
      <alignment horizontal="right"/>
    </xf>
    <xf numFmtId="43" fontId="106" fillId="0" borderId="0" xfId="40" applyFont="1" applyFill="1" applyAlignment="1" applyProtection="1">
      <alignment vertical="center"/>
    </xf>
    <xf numFmtId="0" fontId="107" fillId="0" borderId="0" xfId="0" applyFont="1" applyProtection="1"/>
    <xf numFmtId="0" fontId="107" fillId="0" borderId="0" xfId="0" applyFont="1" applyBorder="1" applyProtection="1"/>
    <xf numFmtId="0" fontId="0" fillId="0" borderId="0" xfId="0" applyBorder="1" applyAlignment="1" applyProtection="1"/>
    <xf numFmtId="0" fontId="0" fillId="0" borderId="0" xfId="0" applyAlignment="1" applyProtection="1"/>
    <xf numFmtId="3" fontId="0" fillId="0" borderId="0" xfId="0" applyNumberFormat="1" applyFill="1" applyProtection="1"/>
    <xf numFmtId="0" fontId="0" fillId="0" borderId="0" xfId="0" applyFill="1" applyBorder="1" applyProtection="1">
      <protection locked="0"/>
    </xf>
    <xf numFmtId="0" fontId="94" fillId="0" borderId="0" xfId="0" applyFont="1" applyFill="1" applyBorder="1" applyAlignment="1" applyProtection="1">
      <alignment horizontal="center" vertical="center"/>
    </xf>
    <xf numFmtId="0" fontId="7" fillId="0" borderId="49" xfId="0" applyFont="1" applyBorder="1" applyAlignment="1" applyProtection="1"/>
    <xf numFmtId="0" fontId="7" fillId="0" borderId="50" xfId="0" applyFont="1" applyBorder="1" applyAlignment="1" applyProtection="1"/>
    <xf numFmtId="0" fontId="26" fillId="0" borderId="51" xfId="0" applyFont="1" applyBorder="1" applyAlignment="1" applyProtection="1">
      <alignment vertical="distributed"/>
    </xf>
    <xf numFmtId="15" fontId="28" fillId="0" borderId="52" xfId="0" applyNumberFormat="1" applyFont="1" applyFill="1" applyBorder="1" applyAlignment="1" applyProtection="1">
      <alignment horizontal="center" vertical="center" wrapText="1"/>
    </xf>
    <xf numFmtId="0" fontId="7" fillId="0" borderId="0" xfId="0" applyFont="1" applyFill="1" applyBorder="1" applyAlignment="1" applyProtection="1">
      <protection locked="0"/>
    </xf>
    <xf numFmtId="0" fontId="102" fillId="0" borderId="0" xfId="0" applyFont="1" applyFill="1" applyBorder="1" applyAlignment="1" applyProtection="1">
      <alignment horizontal="left"/>
      <protection locked="0"/>
    </xf>
    <xf numFmtId="0" fontId="27" fillId="0" borderId="53" xfId="0" applyFont="1" applyFill="1" applyBorder="1" applyAlignment="1" applyProtection="1"/>
    <xf numFmtId="15" fontId="27" fillId="0" borderId="10" xfId="0" applyNumberFormat="1" applyFont="1" applyFill="1" applyBorder="1" applyAlignment="1" applyProtection="1">
      <alignment horizontal="center"/>
    </xf>
    <xf numFmtId="15" fontId="27" fillId="0" borderId="54" xfId="0" applyNumberFormat="1" applyFont="1" applyFill="1" applyBorder="1" applyAlignment="1" applyProtection="1">
      <alignment horizontal="center"/>
    </xf>
    <xf numFmtId="0" fontId="33" fillId="25" borderId="55" xfId="0" applyFont="1" applyFill="1" applyBorder="1" applyAlignment="1" applyProtection="1">
      <alignment horizontal="centerContinuous"/>
    </xf>
    <xf numFmtId="15" fontId="103" fillId="0" borderId="41" xfId="0" applyNumberFormat="1" applyFont="1" applyFill="1" applyBorder="1" applyAlignment="1" applyProtection="1">
      <alignment horizontal="center" wrapText="1"/>
    </xf>
    <xf numFmtId="15" fontId="103" fillId="0" borderId="56" xfId="0" applyNumberFormat="1" applyFont="1" applyFill="1" applyBorder="1" applyAlignment="1" applyProtection="1">
      <alignment horizontal="center" wrapText="1"/>
    </xf>
    <xf numFmtId="0" fontId="38" fillId="0" borderId="53" xfId="0" applyFont="1" applyFill="1" applyBorder="1" applyAlignment="1" applyProtection="1">
      <alignment horizontal="center"/>
    </xf>
    <xf numFmtId="0" fontId="38" fillId="0" borderId="57" xfId="0" applyFont="1" applyFill="1" applyBorder="1" applyAlignment="1" applyProtection="1">
      <alignment horizontal="center"/>
    </xf>
    <xf numFmtId="0" fontId="33" fillId="25" borderId="58" xfId="0" applyFont="1" applyFill="1" applyBorder="1" applyAlignment="1" applyProtection="1">
      <alignment horizontal="centerContinuous"/>
    </xf>
    <xf numFmtId="0" fontId="0" fillId="0" borderId="0" xfId="0" applyFill="1" applyBorder="1" applyAlignment="1" applyProtection="1">
      <alignment horizontal="left" vertical="top"/>
      <protection locked="0"/>
    </xf>
    <xf numFmtId="0" fontId="96" fillId="0" borderId="0" xfId="0" applyFont="1" applyFill="1" applyBorder="1" applyAlignment="1" applyProtection="1">
      <alignment horizontal="center"/>
    </xf>
    <xf numFmtId="15" fontId="0" fillId="0" borderId="0" xfId="0" applyNumberFormat="1" applyFill="1" applyBorder="1" applyAlignment="1" applyProtection="1">
      <alignment horizontal="center"/>
      <protection locked="0"/>
    </xf>
    <xf numFmtId="1" fontId="0" fillId="0" borderId="24" xfId="0" applyNumberFormat="1" applyFill="1" applyBorder="1" applyAlignment="1" applyProtection="1">
      <alignment horizontal="center"/>
    </xf>
    <xf numFmtId="1" fontId="0" fillId="24" borderId="45" xfId="0" applyNumberFormat="1" applyFill="1" applyBorder="1" applyAlignment="1" applyProtection="1">
      <alignment horizontal="center"/>
      <protection locked="0"/>
    </xf>
    <xf numFmtId="0" fontId="0" fillId="0" borderId="59" xfId="0" applyBorder="1" applyAlignment="1" applyProtection="1">
      <alignment horizontal="center"/>
    </xf>
    <xf numFmtId="0" fontId="0" fillId="0" borderId="53" xfId="0" applyBorder="1" applyAlignment="1" applyProtection="1">
      <alignment horizontal="center" wrapText="1"/>
    </xf>
    <xf numFmtId="0" fontId="0" fillId="0" borderId="41" xfId="0" applyFill="1" applyBorder="1" applyAlignment="1" applyProtection="1">
      <alignment horizontal="center"/>
    </xf>
    <xf numFmtId="0" fontId="2" fillId="0" borderId="40" xfId="0" applyFont="1" applyFill="1" applyBorder="1" applyAlignment="1" applyProtection="1">
      <alignment horizontal="center" wrapText="1"/>
    </xf>
    <xf numFmtId="0" fontId="29" fillId="0" borderId="40" xfId="0" applyFont="1" applyBorder="1" applyAlignment="1">
      <alignment horizontal="center" wrapText="1"/>
    </xf>
    <xf numFmtId="3" fontId="68" fillId="22" borderId="60" xfId="0" applyNumberFormat="1" applyFont="1" applyFill="1" applyBorder="1" applyAlignment="1" applyProtection="1">
      <alignment vertical="center"/>
      <protection locked="0"/>
    </xf>
    <xf numFmtId="0" fontId="68" fillId="0" borderId="61" xfId="0" applyFont="1" applyFill="1" applyBorder="1" applyAlignment="1" applyProtection="1">
      <alignment horizontal="center"/>
    </xf>
    <xf numFmtId="0" fontId="78" fillId="0" borderId="62" xfId="0" applyFont="1" applyFill="1" applyBorder="1" applyAlignment="1" applyProtection="1">
      <alignment horizontal="center" vertical="center"/>
    </xf>
    <xf numFmtId="43" fontId="108" fillId="0" borderId="20" xfId="62" applyFont="1" applyFill="1" applyBorder="1" applyAlignment="1" applyProtection="1">
      <alignment vertical="center"/>
    </xf>
    <xf numFmtId="0" fontId="25" fillId="0" borderId="0" xfId="0" applyFont="1" applyProtection="1"/>
    <xf numFmtId="0" fontId="0" fillId="0" borderId="10" xfId="0" applyBorder="1" applyAlignment="1" applyProtection="1">
      <alignment horizontal="center"/>
    </xf>
    <xf numFmtId="43" fontId="103" fillId="0" borderId="0" xfId="0" applyNumberFormat="1" applyFont="1" applyBorder="1" applyAlignment="1" applyProtection="1">
      <alignment vertical="center" wrapText="1"/>
    </xf>
    <xf numFmtId="0" fontId="103" fillId="0" borderId="0" xfId="0" applyFont="1" applyFill="1" applyBorder="1" applyAlignment="1" applyProtection="1">
      <alignment wrapText="1"/>
    </xf>
    <xf numFmtId="0" fontId="29" fillId="0" borderId="63" xfId="0" applyFont="1" applyFill="1" applyBorder="1" applyAlignment="1" applyProtection="1">
      <alignment wrapText="1"/>
    </xf>
    <xf numFmtId="0" fontId="35" fillId="0" borderId="64" xfId="0" applyFont="1" applyFill="1" applyBorder="1" applyAlignment="1" applyProtection="1">
      <alignment horizontal="center" wrapText="1"/>
    </xf>
    <xf numFmtId="0" fontId="22" fillId="20" borderId="29" xfId="0" applyFont="1" applyFill="1" applyBorder="1" applyAlignment="1" applyProtection="1"/>
    <xf numFmtId="0" fontId="29" fillId="0" borderId="0" xfId="0" applyFont="1" applyFill="1" applyBorder="1" applyAlignment="1" applyProtection="1">
      <alignment wrapText="1"/>
    </xf>
    <xf numFmtId="1" fontId="0" fillId="20" borderId="10" xfId="0" applyNumberFormat="1" applyFill="1" applyBorder="1" applyAlignment="1" applyProtection="1">
      <alignment horizontal="center"/>
    </xf>
    <xf numFmtId="9" fontId="105" fillId="26" borderId="10" xfId="57" applyFont="1" applyFill="1" applyBorder="1" applyAlignment="1" applyProtection="1">
      <alignment horizontal="center" vertical="center" wrapText="1"/>
    </xf>
    <xf numFmtId="43" fontId="29" fillId="0" borderId="0" xfId="0" applyNumberFormat="1" applyFont="1" applyAlignment="1" applyProtection="1"/>
    <xf numFmtId="15" fontId="29" fillId="0" borderId="0" xfId="0" applyNumberFormat="1" applyFont="1"/>
    <xf numFmtId="0" fontId="0" fillId="0" borderId="28" xfId="0" applyFill="1" applyBorder="1" applyProtection="1"/>
    <xf numFmtId="43" fontId="109" fillId="0" borderId="28" xfId="62" applyFont="1" applyFill="1" applyBorder="1" applyAlignment="1" applyProtection="1">
      <alignment vertical="center"/>
    </xf>
    <xf numFmtId="0" fontId="0" fillId="0" borderId="28" xfId="0" applyBorder="1" applyProtection="1"/>
    <xf numFmtId="0" fontId="0" fillId="0" borderId="28" xfId="0" applyBorder="1"/>
    <xf numFmtId="9" fontId="16" fillId="0" borderId="0" xfId="57" applyFont="1" applyProtection="1"/>
    <xf numFmtId="43" fontId="25" fillId="24" borderId="65" xfId="59" applyFont="1" applyFill="1" applyBorder="1" applyAlignment="1" applyProtection="1">
      <alignment horizontal="center"/>
    </xf>
    <xf numFmtId="15" fontId="25" fillId="24" borderId="65" xfId="59" applyNumberFormat="1" applyFont="1" applyFill="1" applyBorder="1" applyAlignment="1" applyProtection="1">
      <alignment horizontal="center"/>
    </xf>
    <xf numFmtId="43" fontId="88" fillId="0" borderId="0" xfId="0" applyNumberFormat="1" applyFont="1" applyAlignment="1"/>
    <xf numFmtId="0" fontId="35" fillId="0" borderId="40" xfId="0" applyFont="1" applyFill="1" applyBorder="1" applyAlignment="1" applyProtection="1">
      <alignment horizontal="center" wrapText="1"/>
    </xf>
    <xf numFmtId="0" fontId="68" fillId="0" borderId="66" xfId="0" applyFont="1" applyFill="1" applyBorder="1" applyProtection="1"/>
    <xf numFmtId="0" fontId="31" fillId="27" borderId="0" xfId="0" applyFont="1" applyFill="1" applyBorder="1" applyAlignment="1" applyProtection="1">
      <alignment horizontal="left"/>
      <protection locked="0"/>
    </xf>
    <xf numFmtId="0" fontId="35" fillId="27" borderId="0" xfId="0" applyFont="1" applyFill="1" applyBorder="1" applyAlignment="1" applyProtection="1">
      <alignment horizontal="left"/>
      <protection locked="0"/>
    </xf>
    <xf numFmtId="0" fontId="35" fillId="27" borderId="0" xfId="0" applyFont="1" applyFill="1" applyAlignment="1" applyProtection="1">
      <alignment horizontal="left"/>
      <protection locked="0"/>
    </xf>
    <xf numFmtId="49" fontId="0" fillId="0" borderId="0" xfId="0" applyNumberFormat="1" applyProtection="1"/>
    <xf numFmtId="0" fontId="0" fillId="24" borderId="45" xfId="0" applyNumberFormat="1" applyFill="1" applyBorder="1" applyAlignment="1" applyProtection="1">
      <alignment horizontal="center"/>
      <protection locked="0"/>
    </xf>
    <xf numFmtId="0" fontId="0" fillId="0" borderId="26" xfId="0" applyNumberFormat="1" applyFill="1" applyBorder="1" applyAlignment="1" applyProtection="1">
      <alignment horizontal="center"/>
    </xf>
    <xf numFmtId="0" fontId="0" fillId="24" borderId="26" xfId="0" applyNumberFormat="1" applyFill="1" applyBorder="1" applyAlignment="1" applyProtection="1">
      <alignment horizontal="center"/>
      <protection locked="0"/>
    </xf>
    <xf numFmtId="3" fontId="0" fillId="24" borderId="10" xfId="0" applyNumberFormat="1" applyFill="1" applyBorder="1" applyAlignment="1" applyProtection="1">
      <alignment horizontal="right" wrapText="1"/>
      <protection locked="0"/>
    </xf>
    <xf numFmtId="3" fontId="0" fillId="0" borderId="10" xfId="0" applyNumberFormat="1" applyBorder="1" applyAlignment="1" applyProtection="1">
      <alignment horizontal="right" wrapText="1"/>
    </xf>
    <xf numFmtId="3" fontId="2" fillId="0" borderId="10" xfId="28" applyNumberFormat="1" applyFont="1" applyFill="1" applyBorder="1" applyAlignment="1" applyProtection="1">
      <alignment horizontal="right"/>
    </xf>
    <xf numFmtId="3" fontId="0" fillId="24" borderId="10" xfId="0" applyNumberFormat="1" applyFill="1" applyBorder="1" applyProtection="1">
      <protection locked="0"/>
    </xf>
    <xf numFmtId="3" fontId="0" fillId="0" borderId="10" xfId="0" applyNumberFormat="1" applyFill="1" applyBorder="1" applyProtection="1"/>
    <xf numFmtId="3" fontId="0" fillId="24" borderId="67" xfId="0" applyNumberFormat="1" applyFill="1" applyBorder="1" applyProtection="1">
      <protection locked="0"/>
    </xf>
    <xf numFmtId="171" fontId="22" fillId="20" borderId="0" xfId="0" applyNumberFormat="1" applyFont="1" applyFill="1"/>
    <xf numFmtId="1" fontId="0" fillId="25" borderId="54" xfId="0" applyNumberFormat="1" applyFill="1" applyBorder="1" applyAlignment="1" applyProtection="1">
      <alignment horizontal="center"/>
      <protection locked="0"/>
    </xf>
    <xf numFmtId="1" fontId="0" fillId="25" borderId="68" xfId="0" applyNumberFormat="1" applyFill="1" applyBorder="1" applyAlignment="1" applyProtection="1">
      <alignment horizontal="center"/>
      <protection locked="0"/>
    </xf>
    <xf numFmtId="1" fontId="0" fillId="25" borderId="69" xfId="0" applyNumberFormat="1" applyFill="1" applyBorder="1" applyAlignment="1" applyProtection="1">
      <alignment horizontal="center"/>
      <protection locked="0"/>
    </xf>
    <xf numFmtId="164" fontId="33" fillId="19" borderId="70" xfId="0" applyNumberFormat="1" applyFont="1" applyFill="1" applyBorder="1" applyAlignment="1" applyProtection="1">
      <alignment horizontal="center"/>
      <protection locked="0"/>
    </xf>
    <xf numFmtId="164" fontId="33" fillId="19" borderId="71" xfId="0" applyNumberFormat="1" applyFont="1" applyFill="1" applyBorder="1" applyAlignment="1" applyProtection="1">
      <alignment horizontal="center"/>
      <protection locked="0"/>
    </xf>
    <xf numFmtId="164" fontId="33" fillId="19" borderId="72" xfId="0" applyNumberFormat="1" applyFont="1" applyFill="1" applyBorder="1" applyAlignment="1" applyProtection="1">
      <alignment horizontal="center"/>
      <protection locked="0"/>
    </xf>
    <xf numFmtId="0" fontId="0" fillId="0" borderId="73" xfId="0" applyFill="1" applyBorder="1" applyAlignment="1" applyProtection="1">
      <alignment horizontal="center"/>
    </xf>
    <xf numFmtId="0" fontId="0" fillId="0" borderId="0" xfId="0" applyBorder="1" applyAlignment="1">
      <alignment horizontal="left" wrapText="1"/>
    </xf>
    <xf numFmtId="43" fontId="36" fillId="0" borderId="0" xfId="0" applyNumberFormat="1" applyFont="1"/>
    <xf numFmtId="0" fontId="0" fillId="0" borderId="0" xfId="0" applyBorder="1" applyAlignment="1">
      <alignment horizontal="left"/>
    </xf>
    <xf numFmtId="43" fontId="2" fillId="0" borderId="65" xfId="59" applyFont="1" applyBorder="1" applyAlignment="1" applyProtection="1">
      <alignment horizontal="right"/>
    </xf>
    <xf numFmtId="43" fontId="113" fillId="0" borderId="0" xfId="52" applyFont="1" applyFill="1" applyBorder="1" applyProtection="1"/>
    <xf numFmtId="3" fontId="29" fillId="25" borderId="70" xfId="0" applyNumberFormat="1" applyFont="1" applyFill="1" applyBorder="1" applyAlignment="1" applyProtection="1">
      <protection locked="0"/>
    </xf>
    <xf numFmtId="3" fontId="29" fillId="25" borderId="74" xfId="0" applyNumberFormat="1" applyFont="1" applyFill="1" applyBorder="1" applyAlignment="1" applyProtection="1">
      <protection locked="0"/>
    </xf>
    <xf numFmtId="3" fontId="29" fillId="0" borderId="10" xfId="0" applyNumberFormat="1" applyFont="1" applyFill="1" applyBorder="1" applyAlignment="1" applyProtection="1"/>
    <xf numFmtId="3" fontId="29" fillId="0" borderId="68" xfId="0" applyNumberFormat="1" applyFont="1" applyFill="1" applyBorder="1" applyAlignment="1" applyProtection="1"/>
    <xf numFmtId="3" fontId="22" fillId="25" borderId="10" xfId="28" applyNumberFormat="1" applyFont="1" applyFill="1" applyBorder="1" applyAlignment="1" applyProtection="1">
      <protection locked="0"/>
    </xf>
    <xf numFmtId="3" fontId="7" fillId="0" borderId="75" xfId="28" applyNumberFormat="1" applyFont="1" applyFill="1" applyBorder="1" applyAlignment="1" applyProtection="1"/>
    <xf numFmtId="3" fontId="22" fillId="25" borderId="76" xfId="28" applyNumberFormat="1" applyFont="1" applyFill="1" applyBorder="1" applyAlignment="1" applyProtection="1">
      <protection locked="0"/>
    </xf>
    <xf numFmtId="3" fontId="7" fillId="0" borderId="77" xfId="28" applyNumberFormat="1" applyFont="1" applyFill="1" applyBorder="1" applyAlignment="1" applyProtection="1"/>
    <xf numFmtId="164" fontId="15" fillId="19" borderId="78" xfId="0" applyNumberFormat="1" applyFont="1" applyFill="1" applyBorder="1" applyAlignment="1" applyProtection="1">
      <alignment horizontal="center"/>
      <protection locked="0"/>
    </xf>
    <xf numFmtId="0" fontId="0" fillId="25" borderId="10" xfId="0" applyFill="1" applyBorder="1" applyProtection="1"/>
    <xf numFmtId="0" fontId="0" fillId="24" borderId="10" xfId="0" applyFill="1" applyBorder="1" applyProtection="1"/>
    <xf numFmtId="49" fontId="26" fillId="0" borderId="80" xfId="0" applyNumberFormat="1" applyFont="1" applyFill="1" applyBorder="1" applyAlignment="1" applyProtection="1">
      <alignment vertical="center" wrapText="1"/>
    </xf>
    <xf numFmtId="0" fontId="89" fillId="0" borderId="81" xfId="0" applyNumberFormat="1" applyFont="1" applyFill="1" applyBorder="1" applyAlignment="1" applyProtection="1">
      <alignment horizontal="center" vertical="center" wrapText="1"/>
    </xf>
    <xf numFmtId="0" fontId="89" fillId="0" borderId="82" xfId="0" applyNumberFormat="1" applyFont="1" applyFill="1" applyBorder="1" applyAlignment="1" applyProtection="1">
      <alignment horizontal="center" vertical="center" wrapText="1"/>
    </xf>
    <xf numFmtId="49" fontId="27" fillId="0" borderId="83" xfId="0" applyNumberFormat="1" applyFont="1" applyFill="1" applyBorder="1" applyAlignment="1" applyProtection="1">
      <protection locked="0"/>
    </xf>
    <xf numFmtId="0" fontId="0" fillId="0" borderId="85" xfId="0" applyBorder="1" applyAlignment="1" applyProtection="1"/>
    <xf numFmtId="49" fontId="0" fillId="0" borderId="10" xfId="0" applyNumberFormat="1" applyBorder="1" applyAlignment="1" applyProtection="1">
      <alignment horizontal="center"/>
      <protection locked="0"/>
    </xf>
    <xf numFmtId="49" fontId="0" fillId="24" borderId="10" xfId="0" applyNumberFormat="1" applyFill="1" applyBorder="1" applyProtection="1">
      <protection locked="0"/>
    </xf>
    <xf numFmtId="0" fontId="0" fillId="24" borderId="10" xfId="0" applyNumberFormat="1" applyFill="1" applyBorder="1" applyProtection="1">
      <protection locked="0"/>
    </xf>
    <xf numFmtId="0" fontId="0" fillId="0" borderId="10" xfId="0" applyNumberFormat="1" applyFill="1" applyBorder="1" applyProtection="1"/>
    <xf numFmtId="0" fontId="0" fillId="24" borderId="10" xfId="0" applyNumberFormat="1" applyFill="1" applyBorder="1" applyAlignment="1" applyProtection="1">
      <alignment horizontal="center"/>
      <protection locked="0"/>
    </xf>
    <xf numFmtId="49" fontId="0" fillId="24" borderId="67" xfId="0" applyNumberFormat="1" applyFill="1" applyBorder="1" applyAlignment="1" applyProtection="1">
      <alignment horizontal="left"/>
      <protection locked="0"/>
    </xf>
    <xf numFmtId="0" fontId="0" fillId="24" borderId="67" xfId="0" applyNumberFormat="1" applyFill="1" applyBorder="1" applyProtection="1">
      <protection locked="0"/>
    </xf>
    <xf numFmtId="0" fontId="0" fillId="24" borderId="67" xfId="0" applyNumberFormat="1" applyFill="1" applyBorder="1" applyAlignment="1" applyProtection="1">
      <alignment horizontal="center"/>
      <protection locked="0"/>
    </xf>
    <xf numFmtId="43" fontId="134" fillId="25" borderId="87" xfId="62" applyFill="1" applyBorder="1" applyAlignment="1" applyProtection="1">
      <alignment vertical="center"/>
    </xf>
    <xf numFmtId="0" fontId="0" fillId="27" borderId="88" xfId="0" applyFill="1" applyBorder="1"/>
    <xf numFmtId="0" fontId="0" fillId="0" borderId="20" xfId="0" applyBorder="1" applyProtection="1"/>
    <xf numFmtId="43" fontId="40" fillId="24" borderId="89" xfId="62" applyFont="1" applyFill="1" applyBorder="1" applyAlignment="1" applyProtection="1">
      <alignment horizontal="center" vertical="center"/>
    </xf>
    <xf numFmtId="43" fontId="40" fillId="0" borderId="90" xfId="62" applyFont="1" applyFill="1" applyBorder="1" applyAlignment="1" applyProtection="1">
      <alignment vertical="center"/>
    </xf>
    <xf numFmtId="0" fontId="0" fillId="0" borderId="91" xfId="0" applyNumberFormat="1" applyFill="1" applyBorder="1"/>
    <xf numFmtId="15" fontId="28" fillId="0" borderId="92" xfId="0" applyNumberFormat="1" applyFont="1" applyFill="1" applyBorder="1" applyAlignment="1" applyProtection="1">
      <alignment horizontal="center" vertical="center" wrapText="1"/>
    </xf>
    <xf numFmtId="0" fontId="0" fillId="0" borderId="10" xfId="0" quotePrefix="1" applyNumberFormat="1" applyBorder="1" applyAlignment="1">
      <alignment horizontal="center"/>
    </xf>
    <xf numFmtId="3" fontId="68" fillId="0" borderId="10" xfId="0" applyNumberFormat="1" applyFont="1" applyFill="1" applyBorder="1" applyAlignment="1" applyProtection="1">
      <alignment vertical="center"/>
    </xf>
    <xf numFmtId="3" fontId="68" fillId="0" borderId="61" xfId="0" applyNumberFormat="1" applyFont="1" applyFill="1" applyBorder="1" applyAlignment="1" applyProtection="1">
      <alignment vertical="center"/>
    </xf>
    <xf numFmtId="168" fontId="0" fillId="0" borderId="10" xfId="0" applyNumberFormat="1" applyFill="1" applyBorder="1" applyAlignment="1" applyProtection="1">
      <alignment horizontal="center"/>
    </xf>
    <xf numFmtId="168" fontId="0" fillId="0" borderId="10" xfId="0" applyNumberFormat="1" applyFill="1" applyBorder="1" applyProtection="1"/>
    <xf numFmtId="168" fontId="16" fillId="28" borderId="93" xfId="0" applyNumberFormat="1" applyFont="1" applyFill="1" applyBorder="1" applyAlignment="1" applyProtection="1">
      <alignment horizontal="center"/>
    </xf>
    <xf numFmtId="168" fontId="22" fillId="28" borderId="93" xfId="0" applyNumberFormat="1" applyFont="1" applyFill="1" applyBorder="1" applyAlignment="1" applyProtection="1">
      <alignment horizontal="center"/>
    </xf>
    <xf numFmtId="49" fontId="85" fillId="0" borderId="10" xfId="0" applyNumberFormat="1" applyFont="1" applyBorder="1" applyAlignment="1" applyProtection="1">
      <alignment horizontal="center"/>
      <protection locked="0"/>
    </xf>
    <xf numFmtId="43" fontId="70" fillId="0" borderId="10" xfId="52" applyFont="1" applyBorder="1" applyAlignment="1" applyProtection="1">
      <alignment horizontal="center"/>
    </xf>
    <xf numFmtId="0" fontId="70" fillId="0" borderId="10" xfId="0" applyFont="1" applyBorder="1" applyAlignment="1" applyProtection="1">
      <alignment horizontal="center"/>
    </xf>
    <xf numFmtId="0" fontId="78" fillId="0" borderId="94" xfId="0" applyFont="1" applyFill="1" applyBorder="1" applyAlignment="1" applyProtection="1">
      <alignment horizontal="center" vertical="center" wrapText="1"/>
    </xf>
    <xf numFmtId="0" fontId="78" fillId="0" borderId="95" xfId="0" applyFont="1" applyFill="1" applyBorder="1" applyAlignment="1" applyProtection="1">
      <alignment horizontal="center"/>
    </xf>
    <xf numFmtId="0" fontId="78" fillId="0" borderId="96" xfId="0" applyFont="1" applyFill="1" applyBorder="1" applyAlignment="1" applyProtection="1">
      <alignment horizontal="center"/>
    </xf>
    <xf numFmtId="0" fontId="78" fillId="0" borderId="97" xfId="0" applyNumberFormat="1" applyFont="1" applyFill="1" applyBorder="1" applyAlignment="1" applyProtection="1">
      <alignment horizontal="center"/>
    </xf>
    <xf numFmtId="0" fontId="78" fillId="0" borderId="98" xfId="0" applyNumberFormat="1" applyFont="1" applyFill="1" applyBorder="1" applyAlignment="1" applyProtection="1">
      <alignment horizontal="center"/>
    </xf>
    <xf numFmtId="0" fontId="78" fillId="0" borderId="98" xfId="0" applyNumberFormat="1" applyFont="1" applyFill="1" applyBorder="1" applyAlignment="1" applyProtection="1">
      <alignment horizontal="center" vertical="center"/>
    </xf>
    <xf numFmtId="0" fontId="78" fillId="0" borderId="99" xfId="0" applyNumberFormat="1" applyFont="1" applyFill="1" applyBorder="1" applyAlignment="1" applyProtection="1">
      <alignment horizontal="center" vertical="center"/>
    </xf>
    <xf numFmtId="0" fontId="82" fillId="0" borderId="100" xfId="0" applyNumberFormat="1" applyFont="1" applyFill="1" applyBorder="1" applyAlignment="1" applyProtection="1">
      <alignment horizontal="center" vertical="center"/>
    </xf>
    <xf numFmtId="0" fontId="82" fillId="0" borderId="101" xfId="0" applyNumberFormat="1" applyFont="1" applyFill="1" applyBorder="1" applyAlignment="1" applyProtection="1">
      <alignment horizontal="center" vertical="center"/>
    </xf>
    <xf numFmtId="0" fontId="82" fillId="0" borderId="102" xfId="0" applyNumberFormat="1" applyFont="1" applyFill="1" applyBorder="1" applyAlignment="1" applyProtection="1">
      <alignment horizontal="center" vertical="center"/>
    </xf>
    <xf numFmtId="0" fontId="78" fillId="0" borderId="103" xfId="0" applyFont="1" applyFill="1" applyBorder="1" applyAlignment="1" applyProtection="1">
      <alignment horizontal="center" vertical="center"/>
    </xf>
    <xf numFmtId="0" fontId="78" fillId="0" borderId="104" xfId="0" applyFont="1" applyFill="1" applyBorder="1" applyAlignment="1" applyProtection="1">
      <alignment horizontal="center" vertical="center"/>
    </xf>
    <xf numFmtId="0" fontId="78" fillId="0" borderId="105" xfId="0" applyFont="1" applyFill="1" applyBorder="1" applyAlignment="1" applyProtection="1">
      <alignment horizontal="center" vertical="center"/>
    </xf>
    <xf numFmtId="0" fontId="78" fillId="0" borderId="106" xfId="0" applyFont="1" applyFill="1" applyBorder="1" applyAlignment="1" applyProtection="1">
      <alignment horizontal="center" vertical="center"/>
    </xf>
    <xf numFmtId="0" fontId="3" fillId="0" borderId="107" xfId="0" applyFont="1" applyFill="1" applyBorder="1" applyAlignment="1" applyProtection="1">
      <alignment horizontal="center"/>
    </xf>
    <xf numFmtId="164" fontId="15" fillId="19" borderId="104" xfId="0" applyNumberFormat="1" applyFont="1" applyFill="1" applyBorder="1" applyAlignment="1" applyProtection="1">
      <alignment horizontal="center"/>
      <protection locked="0"/>
    </xf>
    <xf numFmtId="164" fontId="15" fillId="19" borderId="108" xfId="0" applyNumberFormat="1" applyFont="1" applyFill="1" applyBorder="1" applyAlignment="1" applyProtection="1">
      <alignment horizontal="center"/>
      <protection locked="0"/>
    </xf>
    <xf numFmtId="43" fontId="2" fillId="0" borderId="65" xfId="59" applyFont="1" applyFill="1" applyBorder="1" applyAlignment="1" applyProtection="1">
      <alignment horizontal="right"/>
    </xf>
    <xf numFmtId="0" fontId="0" fillId="0" borderId="0" xfId="0" applyBorder="1" applyAlignment="1" applyProtection="1">
      <alignment horizontal="right"/>
    </xf>
    <xf numFmtId="0" fontId="35" fillId="27" borderId="0" xfId="0" applyFont="1" applyFill="1" applyAlignment="1" applyProtection="1">
      <alignment horizontal="right" vertical="top"/>
      <protection locked="0"/>
    </xf>
    <xf numFmtId="0" fontId="35" fillId="27" borderId="0" xfId="0" applyFont="1" applyFill="1" applyBorder="1" applyAlignment="1" applyProtection="1">
      <alignment horizontal="right" vertical="top"/>
      <protection locked="0"/>
    </xf>
    <xf numFmtId="0" fontId="29" fillId="0" borderId="0" xfId="0" applyFont="1" applyAlignment="1">
      <alignment horizontal="left"/>
    </xf>
    <xf numFmtId="0" fontId="29" fillId="0" borderId="0" xfId="0" applyFont="1" applyFill="1" applyAlignment="1">
      <alignment horizontal="left"/>
    </xf>
    <xf numFmtId="0" fontId="81" fillId="0" borderId="66" xfId="0" applyFont="1" applyBorder="1" applyAlignment="1">
      <alignment horizontal="left" vertical="center" wrapText="1"/>
    </xf>
    <xf numFmtId="0" fontId="81" fillId="0" borderId="104" xfId="0" applyFont="1" applyBorder="1" applyAlignment="1">
      <alignment horizontal="left" vertical="center" wrapText="1"/>
    </xf>
    <xf numFmtId="0" fontId="81" fillId="0" borderId="106" xfId="0" applyFont="1" applyBorder="1" applyAlignment="1">
      <alignment horizontal="left" vertical="center" wrapText="1"/>
    </xf>
    <xf numFmtId="0" fontId="29" fillId="0" borderId="0" xfId="0" applyFont="1"/>
    <xf numFmtId="0" fontId="29" fillId="0" borderId="0" xfId="0" applyFont="1" applyFill="1"/>
    <xf numFmtId="0" fontId="123" fillId="0" borderId="0" xfId="0" applyFont="1" applyFill="1"/>
    <xf numFmtId="0" fontId="81" fillId="0" borderId="29" xfId="0" applyFont="1" applyBorder="1" applyAlignment="1" applyProtection="1">
      <alignment horizontal="left" vertical="center" wrapText="1"/>
      <protection locked="0"/>
    </xf>
    <xf numFmtId="0" fontId="81" fillId="0" borderId="109" xfId="0" applyFont="1" applyBorder="1" applyAlignment="1" applyProtection="1">
      <alignment horizontal="left" vertical="center" wrapText="1"/>
      <protection locked="0"/>
    </xf>
    <xf numFmtId="0" fontId="81" fillId="0" borderId="110" xfId="0" applyFont="1" applyBorder="1" applyAlignment="1" applyProtection="1">
      <alignment horizontal="left" vertical="center" wrapText="1"/>
      <protection locked="0"/>
    </xf>
    <xf numFmtId="0" fontId="81" fillId="27" borderId="29" xfId="0" applyFont="1" applyFill="1" applyBorder="1" applyAlignment="1">
      <alignment horizontal="justify" vertical="center" wrapText="1"/>
    </xf>
    <xf numFmtId="0" fontId="82" fillId="27" borderId="109" xfId="0" applyFont="1" applyFill="1" applyBorder="1" applyAlignment="1">
      <alignment horizontal="justify" vertical="center" wrapText="1"/>
    </xf>
    <xf numFmtId="0" fontId="82" fillId="27" borderId="110" xfId="0" applyFont="1" applyFill="1" applyBorder="1" applyAlignment="1">
      <alignment horizontal="justify" vertical="center" wrapText="1"/>
    </xf>
    <xf numFmtId="0" fontId="81" fillId="27" borderId="29" xfId="0" applyFont="1" applyFill="1" applyBorder="1" applyAlignment="1">
      <alignment horizontal="left" vertical="center" wrapText="1"/>
    </xf>
    <xf numFmtId="0" fontId="81" fillId="27" borderId="109" xfId="0" applyFont="1" applyFill="1" applyBorder="1" applyAlignment="1">
      <alignment horizontal="left" vertical="center" wrapText="1"/>
    </xf>
    <xf numFmtId="0" fontId="81" fillId="27" borderId="110" xfId="0" applyFont="1" applyFill="1" applyBorder="1" applyAlignment="1">
      <alignment horizontal="left" vertical="center" wrapText="1"/>
    </xf>
    <xf numFmtId="0" fontId="82" fillId="0" borderId="29" xfId="0" applyFont="1" applyBorder="1" applyAlignment="1">
      <alignment vertical="center" wrapText="1"/>
    </xf>
    <xf numFmtId="0" fontId="82" fillId="0" borderId="109" xfId="0" applyFont="1" applyBorder="1" applyAlignment="1">
      <alignment vertical="center" wrapText="1"/>
    </xf>
    <xf numFmtId="0" fontId="81" fillId="0" borderId="109" xfId="0" applyFont="1" applyBorder="1" applyAlignment="1">
      <alignment horizontal="justify" vertical="center" wrapText="1"/>
    </xf>
    <xf numFmtId="0" fontId="82" fillId="0" borderId="109" xfId="0" applyFont="1" applyBorder="1" applyAlignment="1">
      <alignment horizontal="justify" vertical="center" wrapText="1"/>
    </xf>
    <xf numFmtId="0" fontId="81" fillId="0" borderId="110" xfId="0" applyFont="1" applyBorder="1" applyAlignment="1">
      <alignment horizontal="justify" vertical="center" wrapText="1"/>
    </xf>
    <xf numFmtId="0" fontId="81" fillId="0" borderId="29" xfId="0" applyFont="1" applyBorder="1" applyAlignment="1">
      <alignment horizontal="justify" vertical="center" wrapText="1"/>
    </xf>
    <xf numFmtId="43" fontId="82" fillId="0" borderId="66" xfId="0" applyNumberFormat="1" applyFont="1" applyBorder="1" applyAlignment="1">
      <alignment horizontal="left" vertical="center" wrapText="1"/>
    </xf>
    <xf numFmtId="0" fontId="82" fillId="0" borderId="104" xfId="0" applyFont="1" applyBorder="1" applyAlignment="1">
      <alignment horizontal="left" vertical="center"/>
    </xf>
    <xf numFmtId="0" fontId="82" fillId="0" borderId="106" xfId="0" applyFont="1" applyBorder="1" applyAlignment="1">
      <alignment horizontal="left" vertical="center"/>
    </xf>
    <xf numFmtId="0" fontId="124" fillId="0" borderId="0" xfId="0" applyFont="1" applyAlignment="1">
      <alignment horizontal="right"/>
    </xf>
    <xf numFmtId="0" fontId="68" fillId="23" borderId="10" xfId="0" applyFont="1" applyFill="1" applyBorder="1" applyAlignment="1" applyProtection="1">
      <alignment horizontal="left"/>
    </xf>
    <xf numFmtId="0" fontId="68" fillId="0" borderId="10" xfId="0" applyFont="1" applyFill="1" applyBorder="1" applyAlignment="1" applyProtection="1">
      <alignment horizontal="left"/>
    </xf>
    <xf numFmtId="0" fontId="125" fillId="0" borderId="0" xfId="0" applyFont="1" applyAlignment="1" applyProtection="1">
      <alignment vertical="center"/>
    </xf>
    <xf numFmtId="0" fontId="126" fillId="0" borderId="0" xfId="0" applyFont="1" applyProtection="1"/>
    <xf numFmtId="3" fontId="25" fillId="24" borderId="65" xfId="59" applyNumberFormat="1" applyFont="1" applyFill="1" applyBorder="1" applyAlignment="1" applyProtection="1">
      <alignment horizontal="left"/>
    </xf>
    <xf numFmtId="15" fontId="25" fillId="24" borderId="65" xfId="59" applyNumberFormat="1" applyFont="1" applyFill="1" applyBorder="1" applyAlignment="1" applyProtection="1">
      <alignment horizontal="left"/>
    </xf>
    <xf numFmtId="14" fontId="25" fillId="24" borderId="65" xfId="59" applyNumberFormat="1" applyFont="1" applyFill="1" applyBorder="1" applyAlignment="1" applyProtection="1">
      <alignment horizontal="left"/>
    </xf>
    <xf numFmtId="172" fontId="25" fillId="24" borderId="65" xfId="59" applyNumberFormat="1" applyFont="1" applyFill="1" applyBorder="1" applyAlignment="1" applyProtection="1">
      <alignment horizontal="left"/>
    </xf>
    <xf numFmtId="43" fontId="25" fillId="24" borderId="65" xfId="59" applyFont="1" applyFill="1" applyBorder="1" applyAlignment="1" applyProtection="1">
      <alignment horizontal="left"/>
    </xf>
    <xf numFmtId="14" fontId="0" fillId="0" borderId="10" xfId="0" applyNumberFormat="1" applyBorder="1" applyAlignment="1" applyProtection="1">
      <alignment horizontal="left"/>
      <protection locked="0"/>
    </xf>
    <xf numFmtId="0" fontId="0" fillId="0" borderId="0" xfId="0" applyAlignment="1" applyProtection="1">
      <alignment horizontal="left"/>
    </xf>
    <xf numFmtId="49" fontId="0" fillId="0" borderId="10" xfId="0" applyNumberFormat="1" applyBorder="1" applyAlignment="1" applyProtection="1">
      <alignment horizontal="left"/>
      <protection locked="0"/>
    </xf>
    <xf numFmtId="15" fontId="2" fillId="0" borderId="10" xfId="59" applyNumberFormat="1" applyFont="1" applyFill="1" applyBorder="1" applyAlignment="1" applyProtection="1">
      <alignment horizontal="left"/>
      <protection locked="0"/>
    </xf>
    <xf numFmtId="15" fontId="2" fillId="21" borderId="10" xfId="59" applyNumberFormat="1" applyFont="1" applyFill="1" applyBorder="1" applyAlignment="1" applyProtection="1">
      <alignment horizontal="left"/>
      <protection locked="0"/>
    </xf>
    <xf numFmtId="0" fontId="29" fillId="0" borderId="56" xfId="0" applyFont="1" applyFill="1" applyBorder="1" applyAlignment="1" applyProtection="1">
      <alignment horizontal="center" wrapText="1"/>
    </xf>
    <xf numFmtId="3" fontId="13" fillId="20" borderId="11" xfId="0" applyNumberFormat="1" applyFont="1" applyFill="1" applyBorder="1" applyAlignment="1">
      <alignment horizontal="right"/>
    </xf>
    <xf numFmtId="0" fontId="0" fillId="0" borderId="0" xfId="0" applyAlignment="1">
      <alignment horizontal="left"/>
    </xf>
    <xf numFmtId="0" fontId="33" fillId="27" borderId="10" xfId="0" applyFont="1" applyFill="1" applyBorder="1" applyAlignment="1">
      <alignment horizontal="center" vertical="center" wrapText="1"/>
    </xf>
    <xf numFmtId="164" fontId="33" fillId="19" borderId="111" xfId="0" applyNumberFormat="1" applyFont="1" applyFill="1" applyBorder="1" applyAlignment="1" applyProtection="1">
      <alignment horizontal="center"/>
    </xf>
    <xf numFmtId="164" fontId="15" fillId="19" borderId="78" xfId="0" applyNumberFormat="1" applyFont="1" applyFill="1" applyBorder="1" applyAlignment="1" applyProtection="1">
      <alignment horizontal="center"/>
    </xf>
    <xf numFmtId="3" fontId="68" fillId="29" borderId="10" xfId="0" applyNumberFormat="1" applyFont="1" applyFill="1" applyBorder="1" applyAlignment="1" applyProtection="1">
      <alignment vertical="center"/>
      <protection locked="0"/>
    </xf>
    <xf numFmtId="0" fontId="94" fillId="0" borderId="10" xfId="0" applyFont="1" applyFill="1" applyBorder="1" applyAlignment="1" applyProtection="1">
      <alignment horizontal="center" vertical="center"/>
    </xf>
    <xf numFmtId="0" fontId="0" fillId="0" borderId="112" xfId="0" applyBorder="1" applyProtection="1">
      <protection locked="0"/>
    </xf>
    <xf numFmtId="0" fontId="0" fillId="0" borderId="91" xfId="0" applyBorder="1" applyProtection="1">
      <protection locked="0"/>
    </xf>
    <xf numFmtId="0" fontId="0" fillId="0" borderId="107" xfId="0" applyBorder="1" applyProtection="1">
      <protection locked="0"/>
    </xf>
    <xf numFmtId="15" fontId="0" fillId="21" borderId="0" xfId="0" applyNumberFormat="1" applyFill="1" applyAlignment="1" applyProtection="1">
      <alignment horizontal="center" vertical="center"/>
      <protection locked="0"/>
    </xf>
    <xf numFmtId="1" fontId="0" fillId="0" borderId="10" xfId="0" applyNumberFormat="1" applyFill="1" applyBorder="1" applyAlignment="1" applyProtection="1">
      <alignment horizontal="center"/>
    </xf>
    <xf numFmtId="2" fontId="0" fillId="0" borderId="10" xfId="0" applyNumberFormat="1" applyFill="1" applyBorder="1" applyProtection="1"/>
    <xf numFmtId="9" fontId="68" fillId="22" borderId="10" xfId="0" applyNumberFormat="1" applyFont="1" applyFill="1" applyBorder="1" applyAlignment="1" applyProtection="1">
      <alignment vertical="center"/>
      <protection locked="0"/>
    </xf>
    <xf numFmtId="1" fontId="0" fillId="24" borderId="10" xfId="0" applyNumberFormat="1" applyFill="1" applyBorder="1" applyProtection="1">
      <protection locked="0"/>
    </xf>
    <xf numFmtId="1" fontId="0" fillId="0" borderId="10" xfId="0" applyNumberFormat="1" applyFill="1" applyBorder="1" applyProtection="1"/>
    <xf numFmtId="0" fontId="16" fillId="20" borderId="29" xfId="0" applyFont="1" applyFill="1" applyBorder="1" applyAlignment="1" applyProtection="1"/>
    <xf numFmtId="1" fontId="16" fillId="20" borderId="10" xfId="0" applyNumberFormat="1" applyFont="1" applyFill="1" applyBorder="1" applyAlignment="1" applyProtection="1">
      <alignment horizontal="center"/>
    </xf>
    <xf numFmtId="0" fontId="16" fillId="0" borderId="10" xfId="0" applyFont="1" applyBorder="1" applyAlignment="1" applyProtection="1">
      <alignment horizontal="center"/>
    </xf>
    <xf numFmtId="0" fontId="16" fillId="20" borderId="113" xfId="0" applyFont="1" applyFill="1" applyBorder="1" applyAlignment="1" applyProtection="1"/>
    <xf numFmtId="1" fontId="16" fillId="20" borderId="67" xfId="0" applyNumberFormat="1" applyFont="1" applyFill="1" applyBorder="1" applyAlignment="1" applyProtection="1">
      <alignment horizontal="center"/>
    </xf>
    <xf numFmtId="0" fontId="16" fillId="0" borderId="67" xfId="0" applyFont="1" applyBorder="1" applyAlignment="1" applyProtection="1">
      <alignment horizontal="center"/>
    </xf>
    <xf numFmtId="168" fontId="16" fillId="0" borderId="93" xfId="0" applyNumberFormat="1" applyFont="1" applyFill="1" applyBorder="1" applyAlignment="1" applyProtection="1">
      <alignment horizontal="center"/>
    </xf>
    <xf numFmtId="3" fontId="131" fillId="0" borderId="10" xfId="0" applyNumberFormat="1" applyFont="1" applyBorder="1" applyAlignment="1" applyProtection="1">
      <alignment vertical="center" wrapText="1"/>
    </xf>
    <xf numFmtId="0" fontId="132" fillId="0" borderId="0" xfId="0" applyFont="1" applyFill="1" applyBorder="1" applyProtection="1">
      <protection locked="0"/>
    </xf>
    <xf numFmtId="15" fontId="132" fillId="0" borderId="0" xfId="0" applyNumberFormat="1" applyFont="1" applyFill="1" applyBorder="1" applyAlignment="1" applyProtection="1">
      <alignment horizontal="left"/>
      <protection locked="0"/>
    </xf>
    <xf numFmtId="49" fontId="15" fillId="0" borderId="0" xfId="0" applyNumberFormat="1" applyFont="1"/>
    <xf numFmtId="0" fontId="81" fillId="0" borderId="10" xfId="0" applyFont="1" applyBorder="1" applyAlignment="1" applyProtection="1">
      <alignment horizontal="center" vertical="top" wrapText="1"/>
      <protection locked="0"/>
    </xf>
    <xf numFmtId="0" fontId="81" fillId="0" borderId="10" xfId="0" applyFont="1" applyBorder="1" applyAlignment="1" applyProtection="1">
      <alignment vertical="top" wrapText="1"/>
      <protection locked="0"/>
    </xf>
    <xf numFmtId="0" fontId="0" fillId="0" borderId="0" xfId="0" applyProtection="1">
      <protection locked="0"/>
    </xf>
    <xf numFmtId="0" fontId="127" fillId="0" borderId="0" xfId="0" applyFont="1" applyAlignment="1">
      <alignment horizontal="left"/>
    </xf>
    <xf numFmtId="43" fontId="133" fillId="0" borderId="0" xfId="62" applyFont="1" applyFill="1" applyBorder="1" applyAlignment="1" applyProtection="1">
      <alignment horizontal="right" vertical="center"/>
    </xf>
    <xf numFmtId="15" fontId="133" fillId="0" borderId="0" xfId="62" applyNumberFormat="1" applyFont="1" applyFill="1" applyBorder="1" applyAlignment="1" applyProtection="1">
      <alignment horizontal="left" vertical="center"/>
    </xf>
    <xf numFmtId="0" fontId="133" fillId="0" borderId="0" xfId="0" applyFont="1" applyBorder="1" applyAlignment="1" applyProtection="1">
      <alignment horizontal="right"/>
    </xf>
    <xf numFmtId="15" fontId="133" fillId="0" borderId="0" xfId="0" applyNumberFormat="1" applyFont="1" applyBorder="1" applyAlignment="1" applyProtection="1">
      <alignment horizontal="left"/>
    </xf>
    <xf numFmtId="0" fontId="133" fillId="0" borderId="0" xfId="0" applyFont="1" applyAlignment="1" applyProtection="1">
      <alignment horizontal="right"/>
    </xf>
    <xf numFmtId="15" fontId="133" fillId="0" borderId="0" xfId="0" applyNumberFormat="1" applyFont="1" applyAlignment="1" applyProtection="1">
      <alignment horizontal="left"/>
    </xf>
    <xf numFmtId="3" fontId="102" fillId="0" borderId="10" xfId="0" applyNumberFormat="1" applyFont="1" applyBorder="1" applyAlignment="1" applyProtection="1">
      <alignment vertical="center" wrapText="1"/>
    </xf>
    <xf numFmtId="43" fontId="102" fillId="0" borderId="0" xfId="0" applyNumberFormat="1" applyFont="1" applyAlignment="1" applyProtection="1">
      <alignment horizontal="right"/>
    </xf>
    <xf numFmtId="43" fontId="83" fillId="0" borderId="0" xfId="0" applyNumberFormat="1" applyFont="1" applyAlignment="1" applyProtection="1">
      <alignment horizontal="center"/>
    </xf>
    <xf numFmtId="43" fontId="102" fillId="0" borderId="0" xfId="0" applyNumberFormat="1" applyFont="1" applyProtection="1"/>
    <xf numFmtId="166" fontId="102" fillId="0" borderId="0" xfId="28" applyNumberFormat="1" applyFont="1" applyAlignment="1" applyProtection="1">
      <alignment horizontal="left"/>
    </xf>
    <xf numFmtId="0" fontId="40" fillId="0" borderId="0" xfId="0" applyFont="1" applyFill="1" applyBorder="1" applyAlignment="1" applyProtection="1">
      <alignment horizontal="center" vertical="center"/>
    </xf>
    <xf numFmtId="3" fontId="0" fillId="0" borderId="0" xfId="0" applyNumberFormat="1" applyBorder="1" applyProtection="1"/>
    <xf numFmtId="0" fontId="81" fillId="0" borderId="10" xfId="0" applyFont="1" applyBorder="1" applyAlignment="1" applyProtection="1">
      <alignment horizontal="center" vertical="center" wrapText="1"/>
      <protection locked="0"/>
    </xf>
    <xf numFmtId="0" fontId="0" fillId="0" borderId="0" xfId="0" applyAlignment="1">
      <alignment vertical="center"/>
    </xf>
    <xf numFmtId="3" fontId="0" fillId="0" borderId="0" xfId="0" applyNumberFormat="1" applyFill="1" applyBorder="1" applyAlignment="1">
      <alignment horizontal="centerContinuous"/>
    </xf>
    <xf numFmtId="0" fontId="137" fillId="0" borderId="0" xfId="0" applyFont="1" applyProtection="1"/>
    <xf numFmtId="0" fontId="101" fillId="0" borderId="0" xfId="0" applyFont="1" applyAlignment="1" applyProtection="1">
      <alignment horizontal="right"/>
      <protection locked="0"/>
    </xf>
    <xf numFmtId="0" fontId="137" fillId="0" borderId="0" xfId="0" applyFont="1" applyAlignment="1" applyProtection="1">
      <alignment horizontal="center"/>
    </xf>
    <xf numFmtId="0" fontId="137" fillId="0" borderId="0" xfId="0" applyFont="1" applyFill="1" applyAlignment="1">
      <alignment horizontal="center"/>
    </xf>
    <xf numFmtId="0" fontId="137" fillId="0" borderId="0" xfId="0" applyFont="1" applyFill="1"/>
    <xf numFmtId="0" fontId="137" fillId="0" borderId="0" xfId="0" applyFont="1"/>
    <xf numFmtId="49" fontId="15" fillId="0" borderId="0" xfId="0" applyNumberFormat="1" applyFont="1" applyAlignment="1">
      <alignment horizontal="left"/>
    </xf>
    <xf numFmtId="0" fontId="33" fillId="27" borderId="10" xfId="0" applyFont="1" applyFill="1" applyBorder="1" applyAlignment="1">
      <alignment horizontal="left" vertical="center" wrapText="1"/>
    </xf>
    <xf numFmtId="15" fontId="81" fillId="0" borderId="10" xfId="0" applyNumberFormat="1" applyFont="1" applyBorder="1" applyAlignment="1" applyProtection="1">
      <alignment horizontal="left" vertical="center" wrapText="1"/>
      <protection locked="0"/>
    </xf>
    <xf numFmtId="15" fontId="0" fillId="0" borderId="10" xfId="0" applyNumberFormat="1" applyBorder="1" applyAlignment="1" applyProtection="1">
      <alignment horizontal="left" vertical="top"/>
      <protection locked="0"/>
    </xf>
    <xf numFmtId="0" fontId="0" fillId="0" borderId="0" xfId="0" applyAlignment="1" applyProtection="1">
      <alignment horizontal="left"/>
      <protection locked="0"/>
    </xf>
    <xf numFmtId="0" fontId="81" fillId="0" borderId="10" xfId="0" applyFont="1" applyBorder="1" applyAlignment="1" applyProtection="1">
      <alignment vertical="center" wrapText="1"/>
      <protection locked="0"/>
    </xf>
    <xf numFmtId="15" fontId="0" fillId="39" borderId="10" xfId="0" applyNumberFormat="1" applyFill="1" applyBorder="1" applyAlignment="1" applyProtection="1">
      <alignment horizontal="left" vertical="top"/>
      <protection locked="0"/>
    </xf>
    <xf numFmtId="0" fontId="81" fillId="39" borderId="10" xfId="0" applyFont="1" applyFill="1" applyBorder="1" applyAlignment="1" applyProtection="1">
      <alignment horizontal="center" vertical="top" wrapText="1"/>
      <protection locked="0"/>
    </xf>
    <xf numFmtId="0" fontId="81" fillId="39" borderId="10" xfId="0" applyFont="1" applyFill="1" applyBorder="1" applyAlignment="1" applyProtection="1">
      <alignment vertical="top" wrapText="1"/>
      <protection locked="0"/>
    </xf>
    <xf numFmtId="3" fontId="137" fillId="0" borderId="10" xfId="0" applyNumberFormat="1" applyFont="1" applyBorder="1" applyAlignment="1" applyProtection="1">
      <alignment horizontal="right" wrapText="1"/>
    </xf>
    <xf numFmtId="1" fontId="29" fillId="0" borderId="10" xfId="0" applyNumberFormat="1" applyFont="1" applyBorder="1" applyAlignment="1" applyProtection="1">
      <alignment vertical="center" wrapText="1"/>
    </xf>
    <xf numFmtId="1" fontId="33" fillId="25" borderId="55" xfId="0" applyNumberFormat="1" applyFont="1" applyFill="1" applyBorder="1" applyAlignment="1" applyProtection="1">
      <alignment horizontal="centerContinuous"/>
    </xf>
    <xf numFmtId="15" fontId="1" fillId="0" borderId="10" xfId="59" applyNumberFormat="1" applyFont="1" applyFill="1" applyBorder="1" applyAlignment="1" applyProtection="1">
      <alignment horizontal="left"/>
      <protection locked="0"/>
    </xf>
    <xf numFmtId="1" fontId="68" fillId="22" borderId="10" xfId="0" applyNumberFormat="1" applyFont="1" applyFill="1" applyBorder="1" applyAlignment="1" applyProtection="1">
      <alignment vertical="center"/>
      <protection locked="0"/>
    </xf>
    <xf numFmtId="43" fontId="0" fillId="0" borderId="0" xfId="28" applyFont="1" applyProtection="1"/>
    <xf numFmtId="166" fontId="68" fillId="22" borderId="10" xfId="28" applyNumberFormat="1" applyFont="1" applyFill="1" applyBorder="1" applyAlignment="1" applyProtection="1">
      <alignment vertical="center"/>
      <protection locked="0"/>
    </xf>
    <xf numFmtId="0" fontId="97" fillId="0" borderId="0" xfId="0" applyFont="1" applyAlignment="1" applyProtection="1">
      <alignment horizontal="right"/>
    </xf>
    <xf numFmtId="43" fontId="1" fillId="25" borderId="84" xfId="28" applyFont="1" applyFill="1" applyBorder="1" applyProtection="1">
      <protection locked="0"/>
    </xf>
    <xf numFmtId="43" fontId="2" fillId="25" borderId="79" xfId="28" applyFont="1" applyFill="1" applyBorder="1" applyAlignment="1" applyProtection="1">
      <protection locked="0"/>
    </xf>
    <xf numFmtId="43" fontId="2" fillId="25" borderId="84" xfId="28" applyFont="1" applyFill="1" applyBorder="1" applyProtection="1">
      <protection locked="0"/>
    </xf>
    <xf numFmtId="43" fontId="22" fillId="25" borderId="10" xfId="28" applyFont="1" applyFill="1" applyBorder="1" applyAlignment="1" applyProtection="1">
      <protection locked="0"/>
    </xf>
    <xf numFmtId="43" fontId="7" fillId="0" borderId="75" xfId="28" applyFont="1" applyFill="1" applyBorder="1" applyAlignment="1" applyProtection="1"/>
    <xf numFmtId="0" fontId="0" fillId="0" borderId="0" xfId="0" applyAlignment="1" applyProtection="1">
      <alignment horizontal="center" vertical="center"/>
    </xf>
    <xf numFmtId="0" fontId="0" fillId="0" borderId="0" xfId="0" applyAlignment="1">
      <alignment horizontal="center" vertical="center"/>
    </xf>
    <xf numFmtId="0" fontId="0" fillId="0" borderId="0" xfId="0" applyFill="1" applyAlignment="1">
      <alignment horizontal="center" vertical="center"/>
    </xf>
    <xf numFmtId="166" fontId="1" fillId="25" borderId="84" xfId="28" applyNumberFormat="1" applyFont="1" applyFill="1" applyBorder="1" applyProtection="1">
      <protection locked="0"/>
    </xf>
    <xf numFmtId="166" fontId="1" fillId="25" borderId="79" xfId="28" applyNumberFormat="1" applyFont="1" applyFill="1" applyBorder="1" applyAlignment="1" applyProtection="1">
      <protection locked="0"/>
    </xf>
    <xf numFmtId="166" fontId="1" fillId="25" borderId="79" xfId="28" applyNumberFormat="1" applyFont="1" applyFill="1" applyBorder="1" applyProtection="1">
      <protection locked="0"/>
    </xf>
    <xf numFmtId="166" fontId="2" fillId="25" borderId="79" xfId="28" applyNumberFormat="1" applyFont="1" applyFill="1" applyBorder="1" applyAlignment="1" applyProtection="1">
      <protection locked="0"/>
    </xf>
    <xf numFmtId="166" fontId="0" fillId="0" borderId="86" xfId="28" applyNumberFormat="1" applyFont="1" applyBorder="1" applyProtection="1"/>
    <xf numFmtId="0" fontId="0" fillId="0" borderId="0" xfId="0" applyAlignment="1" applyProtection="1">
      <alignment horizontal="right"/>
    </xf>
    <xf numFmtId="3" fontId="0" fillId="41" borderId="10" xfId="0" applyNumberFormat="1" applyFill="1" applyBorder="1" applyAlignment="1" applyProtection="1">
      <alignment horizontal="right" wrapText="1"/>
    </xf>
    <xf numFmtId="6" fontId="0" fillId="0" borderId="0" xfId="0" applyNumberFormat="1" applyAlignment="1">
      <alignment vertical="center"/>
    </xf>
    <xf numFmtId="0" fontId="140" fillId="0" borderId="0" xfId="0" applyFont="1" applyProtection="1"/>
    <xf numFmtId="3" fontId="140" fillId="0" borderId="0" xfId="0" applyNumberFormat="1" applyFont="1" applyProtection="1"/>
    <xf numFmtId="3" fontId="143" fillId="20" borderId="0" xfId="0" applyNumberFormat="1" applyFont="1" applyFill="1" applyProtection="1"/>
    <xf numFmtId="164" fontId="143" fillId="20" borderId="0" xfId="0" applyNumberFormat="1" applyFont="1" applyFill="1" applyProtection="1"/>
    <xf numFmtId="166" fontId="143" fillId="20" borderId="0" xfId="0" applyNumberFormat="1" applyFont="1" applyFill="1"/>
    <xf numFmtId="0" fontId="143" fillId="20" borderId="0" xfId="0" applyFont="1" applyFill="1"/>
    <xf numFmtId="0" fontId="140" fillId="0" borderId="0" xfId="0" applyFont="1"/>
    <xf numFmtId="0" fontId="140" fillId="0" borderId="0" xfId="0" applyFont="1" applyFill="1"/>
    <xf numFmtId="49" fontId="141" fillId="0" borderId="236" xfId="0" applyNumberFormat="1" applyFont="1" applyFill="1" applyBorder="1" applyAlignment="1" applyProtection="1">
      <alignment wrapText="1"/>
      <protection locked="0"/>
    </xf>
    <xf numFmtId="0" fontId="97" fillId="40" borderId="0" xfId="0" applyFont="1" applyFill="1" applyBorder="1" applyAlignment="1" applyProtection="1">
      <alignment horizontal="center"/>
    </xf>
    <xf numFmtId="0" fontId="7" fillId="40" borderId="112" xfId="0" applyFont="1" applyFill="1" applyBorder="1" applyAlignment="1" applyProtection="1">
      <alignment horizontal="center" vertical="center"/>
    </xf>
    <xf numFmtId="0" fontId="0" fillId="40" borderId="0" xfId="0" applyFill="1" applyProtection="1"/>
    <xf numFmtId="9" fontId="97" fillId="40" borderId="0" xfId="57" applyFont="1" applyFill="1" applyBorder="1" applyAlignment="1" applyProtection="1">
      <alignment horizontal="center"/>
    </xf>
    <xf numFmtId="9" fontId="0" fillId="40" borderId="112" xfId="57" applyFont="1" applyFill="1" applyBorder="1" applyAlignment="1" applyProtection="1">
      <alignment wrapText="1"/>
      <protection locked="0"/>
    </xf>
    <xf numFmtId="9" fontId="0" fillId="40" borderId="0" xfId="57" applyFont="1" applyFill="1" applyProtection="1"/>
    <xf numFmtId="43" fontId="97" fillId="40" borderId="0" xfId="28" applyFont="1" applyFill="1" applyBorder="1" applyAlignment="1" applyProtection="1">
      <alignment horizontal="center"/>
    </xf>
    <xf numFmtId="0" fontId="0" fillId="40" borderId="107" xfId="0" applyFill="1" applyBorder="1" applyProtection="1">
      <protection locked="0"/>
    </xf>
    <xf numFmtId="0" fontId="0" fillId="40" borderId="0" xfId="0" applyFill="1" applyBorder="1" applyProtection="1"/>
    <xf numFmtId="3" fontId="140" fillId="40" borderId="0" xfId="0" applyNumberFormat="1" applyFont="1" applyFill="1" applyProtection="1"/>
    <xf numFmtId="9" fontId="140" fillId="40" borderId="0" xfId="57" applyFont="1" applyFill="1" applyProtection="1"/>
    <xf numFmtId="3" fontId="142" fillId="40" borderId="0" xfId="0" applyNumberFormat="1" applyFont="1" applyFill="1" applyAlignment="1" applyProtection="1">
      <alignment horizontal="right"/>
    </xf>
    <xf numFmtId="166" fontId="0" fillId="40" borderId="0" xfId="0" applyNumberFormat="1" applyFill="1" applyProtection="1"/>
    <xf numFmtId="176" fontId="0" fillId="40" borderId="0" xfId="0" applyNumberFormat="1" applyFill="1" applyProtection="1"/>
    <xf numFmtId="43" fontId="18" fillId="30" borderId="0" xfId="40" applyFont="1" applyFill="1" applyBorder="1" applyAlignment="1">
      <alignment horizontal="center" vertical="center"/>
    </xf>
    <xf numFmtId="43" fontId="34" fillId="0" borderId="0" xfId="0" applyNumberFormat="1" applyFont="1" applyAlignment="1">
      <alignment horizontal="center"/>
    </xf>
    <xf numFmtId="0" fontId="0" fillId="0" borderId="0" xfId="0" applyAlignment="1"/>
    <xf numFmtId="0" fontId="118" fillId="0" borderId="0" xfId="0" applyFont="1" applyAlignment="1">
      <alignment horizontal="center"/>
    </xf>
    <xf numFmtId="0" fontId="119" fillId="0" borderId="0" xfId="0" applyFont="1" applyAlignment="1">
      <alignment horizontal="center"/>
    </xf>
    <xf numFmtId="0" fontId="29" fillId="0" borderId="29" xfId="0" applyFont="1" applyBorder="1" applyAlignment="1">
      <alignment horizontal="center" vertical="center" wrapText="1"/>
    </xf>
    <xf numFmtId="0" fontId="29" fillId="0" borderId="109" xfId="0" applyFont="1" applyBorder="1" applyAlignment="1">
      <alignment horizontal="center" vertical="center" wrapText="1"/>
    </xf>
    <xf numFmtId="0" fontId="29" fillId="0" borderId="110" xfId="0" applyFont="1" applyBorder="1" applyAlignment="1">
      <alignment horizontal="center" vertical="center" wrapText="1"/>
    </xf>
    <xf numFmtId="0" fontId="87" fillId="0" borderId="0" xfId="0" applyFont="1" applyAlignment="1">
      <alignment horizontal="left"/>
    </xf>
    <xf numFmtId="0" fontId="37" fillId="27" borderId="29" xfId="0" applyFont="1" applyFill="1" applyBorder="1" applyAlignment="1">
      <alignment horizontal="center" vertical="center" wrapText="1"/>
    </xf>
    <xf numFmtId="0" fontId="37" fillId="27" borderId="109" xfId="0" applyFont="1" applyFill="1" applyBorder="1" applyAlignment="1">
      <alignment horizontal="center" vertical="center"/>
    </xf>
    <xf numFmtId="0" fontId="37" fillId="27" borderId="110" xfId="0" applyFont="1" applyFill="1" applyBorder="1" applyAlignment="1">
      <alignment horizontal="center" vertical="center"/>
    </xf>
    <xf numFmtId="0" fontId="33" fillId="27" borderId="29" xfId="0" applyFont="1" applyFill="1" applyBorder="1" applyAlignment="1">
      <alignment horizontal="center" vertical="center"/>
    </xf>
    <xf numFmtId="0" fontId="37" fillId="27" borderId="29" xfId="0" applyFont="1" applyFill="1" applyBorder="1" applyAlignment="1">
      <alignment horizontal="center" vertical="center"/>
    </xf>
    <xf numFmtId="0" fontId="33" fillId="0" borderId="29" xfId="0" applyFont="1" applyBorder="1" applyAlignment="1">
      <alignment horizontal="center" vertical="center" wrapText="1"/>
    </xf>
    <xf numFmtId="0" fontId="33" fillId="0" borderId="109" xfId="0" applyFont="1" applyBorder="1" applyAlignment="1">
      <alignment horizontal="center" vertical="center" wrapText="1"/>
    </xf>
    <xf numFmtId="0" fontId="33" fillId="0" borderId="110" xfId="0" applyFont="1" applyBorder="1" applyAlignment="1">
      <alignment horizontal="center" vertical="center" wrapText="1"/>
    </xf>
    <xf numFmtId="0" fontId="37" fillId="27" borderId="29" xfId="0" applyFont="1" applyFill="1" applyBorder="1" applyAlignment="1">
      <alignment horizontal="center"/>
    </xf>
    <xf numFmtId="0" fontId="37" fillId="27" borderId="109" xfId="0" applyFont="1" applyFill="1" applyBorder="1" applyAlignment="1">
      <alignment horizontal="center"/>
    </xf>
    <xf numFmtId="0" fontId="37" fillId="27" borderId="110" xfId="0" applyFont="1" applyFill="1" applyBorder="1" applyAlignment="1">
      <alignment horizontal="center"/>
    </xf>
    <xf numFmtId="0" fontId="78" fillId="0" borderId="29" xfId="0" applyFont="1" applyFill="1" applyBorder="1" applyAlignment="1" applyProtection="1">
      <alignment vertical="center" wrapText="1"/>
      <protection locked="0"/>
    </xf>
    <xf numFmtId="0" fontId="78" fillId="0" borderId="109" xfId="0" applyFont="1" applyFill="1" applyBorder="1" applyAlignment="1" applyProtection="1">
      <alignment vertical="center" wrapText="1"/>
      <protection locked="0"/>
    </xf>
    <xf numFmtId="0" fontId="78" fillId="0" borderId="110" xfId="0" applyFont="1" applyFill="1" applyBorder="1" applyAlignment="1" applyProtection="1">
      <alignment vertical="center" wrapText="1"/>
      <protection locked="0"/>
    </xf>
    <xf numFmtId="0" fontId="81" fillId="0" borderId="29" xfId="0" applyFont="1" applyBorder="1" applyAlignment="1" applyProtection="1">
      <alignment horizontal="justify" vertical="center" wrapText="1"/>
      <protection locked="0"/>
    </xf>
    <xf numFmtId="0" fontId="82" fillId="0" borderId="109" xfId="0" applyFont="1" applyBorder="1" applyAlignment="1" applyProtection="1">
      <alignment horizontal="justify" vertical="center" wrapText="1"/>
      <protection locked="0"/>
    </xf>
    <xf numFmtId="0" fontId="82" fillId="0" borderId="110" xfId="0" applyFont="1" applyBorder="1" applyAlignment="1" applyProtection="1">
      <alignment horizontal="justify" vertical="center" wrapText="1"/>
      <protection locked="0"/>
    </xf>
    <xf numFmtId="0" fontId="81" fillId="0" borderId="29" xfId="0" applyFont="1" applyBorder="1" applyAlignment="1" applyProtection="1">
      <alignment horizontal="left" vertical="center" wrapText="1"/>
      <protection locked="0"/>
    </xf>
    <xf numFmtId="0" fontId="81" fillId="0" borderId="109" xfId="0" applyFont="1" applyBorder="1" applyAlignment="1" applyProtection="1">
      <alignment horizontal="left" vertical="center" wrapText="1"/>
      <protection locked="0"/>
    </xf>
    <xf numFmtId="0" fontId="81" fillId="0" borderId="110" xfId="0" applyFont="1" applyBorder="1" applyAlignment="1" applyProtection="1">
      <alignment horizontal="left" vertical="center" wrapText="1"/>
      <protection locked="0"/>
    </xf>
    <xf numFmtId="0" fontId="82" fillId="27" borderId="29" xfId="0" applyFont="1" applyFill="1" applyBorder="1" applyAlignment="1">
      <alignment vertical="center" wrapText="1"/>
    </xf>
    <xf numFmtId="0" fontId="82" fillId="27" borderId="109" xfId="0" applyFont="1" applyFill="1" applyBorder="1" applyAlignment="1">
      <alignment vertical="center" wrapText="1"/>
    </xf>
    <xf numFmtId="0" fontId="82" fillId="27" borderId="110" xfId="0" applyFont="1" applyFill="1" applyBorder="1" applyAlignment="1">
      <alignment vertical="center" wrapText="1"/>
    </xf>
    <xf numFmtId="0" fontId="82" fillId="0" borderId="109" xfId="0" applyFont="1" applyBorder="1" applyAlignment="1" applyProtection="1">
      <alignment horizontal="left" vertical="center" wrapText="1"/>
      <protection locked="0"/>
    </xf>
    <xf numFmtId="0" fontId="82" fillId="0" borderId="110" xfId="0" applyFont="1" applyBorder="1" applyAlignment="1" applyProtection="1">
      <alignment horizontal="left" vertical="center" wrapText="1"/>
      <protection locked="0"/>
    </xf>
    <xf numFmtId="0" fontId="82" fillId="0" borderId="29" xfId="0" applyFont="1" applyBorder="1" applyAlignment="1" applyProtection="1">
      <alignment vertical="center" wrapText="1"/>
      <protection locked="0"/>
    </xf>
    <xf numFmtId="0" fontId="82" fillId="0" borderId="109" xfId="0" applyFont="1" applyBorder="1" applyAlignment="1" applyProtection="1">
      <alignment vertical="center" wrapText="1"/>
      <protection locked="0"/>
    </xf>
    <xf numFmtId="0" fontId="82" fillId="0" borderId="110" xfId="0" applyFont="1" applyBorder="1" applyAlignment="1" applyProtection="1">
      <alignment vertical="center" wrapText="1"/>
      <protection locked="0"/>
    </xf>
    <xf numFmtId="0" fontId="82" fillId="40" borderId="29" xfId="0" applyFont="1" applyFill="1" applyBorder="1" applyAlignment="1" applyProtection="1">
      <alignment vertical="center" wrapText="1"/>
      <protection locked="0"/>
    </xf>
    <xf numFmtId="0" fontId="82" fillId="40" borderId="109" xfId="0" applyFont="1" applyFill="1" applyBorder="1" applyAlignment="1" applyProtection="1">
      <alignment vertical="center" wrapText="1"/>
      <protection locked="0"/>
    </xf>
    <xf numFmtId="0" fontId="82" fillId="40" borderId="110" xfId="0" applyFont="1" applyFill="1" applyBorder="1" applyAlignment="1" applyProtection="1">
      <alignment vertical="center" wrapText="1"/>
      <protection locked="0"/>
    </xf>
    <xf numFmtId="0" fontId="82" fillId="0" borderId="29" xfId="0" applyFont="1" applyBorder="1" applyAlignment="1">
      <alignment horizontal="left" vertical="center" wrapText="1"/>
    </xf>
    <xf numFmtId="0" fontId="82" fillId="0" borderId="109" xfId="0" applyFont="1" applyBorder="1" applyAlignment="1">
      <alignment horizontal="left" vertical="center" wrapText="1"/>
    </xf>
    <xf numFmtId="0" fontId="82" fillId="0" borderId="110" xfId="0" applyFont="1" applyBorder="1" applyAlignment="1">
      <alignment horizontal="left" vertical="center" wrapText="1"/>
    </xf>
    <xf numFmtId="0" fontId="82" fillId="0" borderId="114" xfId="0" applyFont="1" applyBorder="1" applyAlignment="1">
      <alignment horizontal="left" vertical="center" wrapText="1"/>
    </xf>
    <xf numFmtId="0" fontId="82" fillId="0" borderId="115" xfId="0" applyFont="1" applyBorder="1" applyAlignment="1">
      <alignment horizontal="left" vertical="center" wrapText="1"/>
    </xf>
    <xf numFmtId="0" fontId="82" fillId="0" borderId="116" xfId="0" applyFont="1" applyBorder="1" applyAlignment="1">
      <alignment horizontal="left" vertical="center" wrapText="1"/>
    </xf>
    <xf numFmtId="0" fontId="81" fillId="0" borderId="114" xfId="0" applyFont="1" applyBorder="1" applyAlignment="1">
      <alignment horizontal="left" vertical="center" wrapText="1"/>
    </xf>
    <xf numFmtId="0" fontId="81" fillId="0" borderId="115" xfId="0" applyFont="1" applyBorder="1" applyAlignment="1">
      <alignment horizontal="left" vertical="center" wrapText="1"/>
    </xf>
    <xf numFmtId="0" fontId="81" fillId="0" borderId="116" xfId="0" applyFont="1" applyBorder="1" applyAlignment="1">
      <alignment horizontal="left" vertical="center" wrapText="1"/>
    </xf>
    <xf numFmtId="0" fontId="81" fillId="0" borderId="29" xfId="0" applyFont="1" applyBorder="1" applyAlignment="1">
      <alignment horizontal="left" vertical="center" wrapText="1"/>
    </xf>
    <xf numFmtId="0" fontId="81" fillId="0" borderId="109" xfId="0" applyFont="1" applyBorder="1" applyAlignment="1">
      <alignment horizontal="left" vertical="center" wrapText="1"/>
    </xf>
    <xf numFmtId="0" fontId="81" fillId="0" borderId="110" xfId="0" applyFont="1" applyBorder="1" applyAlignment="1">
      <alignment horizontal="left" vertical="center" wrapText="1"/>
    </xf>
    <xf numFmtId="0" fontId="81" fillId="0" borderId="66" xfId="0" applyFont="1" applyBorder="1" applyAlignment="1">
      <alignment horizontal="left" vertical="center" wrapText="1"/>
    </xf>
    <xf numFmtId="0" fontId="81" fillId="0" borderId="104" xfId="0" applyFont="1" applyBorder="1" applyAlignment="1">
      <alignment horizontal="left" vertical="center" wrapText="1"/>
    </xf>
    <xf numFmtId="0" fontId="81" fillId="0" borderId="106" xfId="0" applyFont="1" applyBorder="1" applyAlignment="1">
      <alignment horizontal="left" vertical="center" wrapText="1"/>
    </xf>
    <xf numFmtId="0" fontId="3" fillId="0" borderId="29" xfId="0" applyFont="1" applyBorder="1" applyAlignment="1">
      <alignment horizontal="left" vertical="center" wrapText="1"/>
    </xf>
    <xf numFmtId="0" fontId="122" fillId="0" borderId="109" xfId="0" applyFont="1" applyBorder="1" applyAlignment="1">
      <alignment horizontal="left" vertical="center" wrapText="1"/>
    </xf>
    <xf numFmtId="0" fontId="122" fillId="0" borderId="110" xfId="0" applyFont="1" applyBorder="1" applyAlignment="1">
      <alignment horizontal="left" vertical="center" wrapText="1"/>
    </xf>
    <xf numFmtId="0" fontId="82" fillId="24" borderId="29" xfId="0" applyFont="1" applyFill="1" applyBorder="1" applyAlignment="1">
      <alignment horizontal="center"/>
    </xf>
    <xf numFmtId="0" fontId="82" fillId="24" borderId="109" xfId="0" applyFont="1" applyFill="1" applyBorder="1" applyAlignment="1">
      <alignment horizontal="center"/>
    </xf>
    <xf numFmtId="0" fontId="82" fillId="24" borderId="110" xfId="0" applyFont="1" applyFill="1" applyBorder="1" applyAlignment="1">
      <alignment horizontal="center"/>
    </xf>
    <xf numFmtId="0" fontId="82" fillId="0" borderId="66" xfId="0" applyFont="1" applyBorder="1" applyAlignment="1">
      <alignment horizontal="left" vertical="center" wrapText="1"/>
    </xf>
    <xf numFmtId="0" fontId="82" fillId="0" borderId="104" xfId="0" applyFont="1" applyBorder="1" applyAlignment="1">
      <alignment horizontal="left" vertical="center" wrapText="1"/>
    </xf>
    <xf numFmtId="0" fontId="82" fillId="0" borderId="106" xfId="0" applyFont="1" applyBorder="1" applyAlignment="1">
      <alignment horizontal="left" vertical="center" wrapText="1"/>
    </xf>
    <xf numFmtId="0" fontId="81" fillId="40" borderId="29" xfId="0" applyFont="1" applyFill="1" applyBorder="1" applyAlignment="1" applyProtection="1">
      <alignment horizontal="justify" vertical="center" wrapText="1"/>
      <protection locked="0"/>
    </xf>
    <xf numFmtId="0" fontId="82" fillId="40" borderId="109" xfId="0" applyFont="1" applyFill="1" applyBorder="1" applyAlignment="1" applyProtection="1">
      <alignment horizontal="justify" vertical="center" wrapText="1"/>
      <protection locked="0"/>
    </xf>
    <xf numFmtId="0" fontId="82" fillId="40" borderId="110" xfId="0" applyFont="1" applyFill="1" applyBorder="1" applyAlignment="1" applyProtection="1">
      <alignment horizontal="justify" vertical="center" wrapText="1"/>
      <protection locked="0"/>
    </xf>
    <xf numFmtId="0" fontId="0" fillId="0" borderId="29" xfId="0" applyBorder="1" applyAlignment="1">
      <alignment horizontal="left" vertical="top" wrapText="1"/>
    </xf>
    <xf numFmtId="0" fontId="0" fillId="0" borderId="109" xfId="0" applyBorder="1" applyAlignment="1">
      <alignment horizontal="left" vertical="top" wrapText="1"/>
    </xf>
    <xf numFmtId="0" fontId="0" fillId="0" borderId="110" xfId="0" applyBorder="1" applyAlignment="1">
      <alignment horizontal="left" vertical="top" wrapText="1"/>
    </xf>
    <xf numFmtId="0" fontId="81" fillId="0" borderId="29" xfId="0" applyNumberFormat="1" applyFont="1" applyBorder="1" applyAlignment="1" applyProtection="1">
      <alignment horizontal="left" vertical="center" wrapText="1"/>
      <protection locked="0"/>
    </xf>
    <xf numFmtId="0" fontId="81" fillId="0" borderId="109" xfId="0" applyNumberFormat="1" applyFont="1" applyBorder="1" applyAlignment="1" applyProtection="1">
      <alignment horizontal="left" vertical="center" wrapText="1"/>
      <protection locked="0"/>
    </xf>
    <xf numFmtId="0" fontId="81" fillId="0" borderId="110" xfId="0" applyNumberFormat="1" applyFont="1" applyBorder="1" applyAlignment="1" applyProtection="1">
      <alignment horizontal="left" vertical="center" wrapText="1"/>
      <protection locked="0"/>
    </xf>
    <xf numFmtId="0" fontId="29" fillId="0" borderId="0" xfId="0" applyFont="1" applyBorder="1" applyAlignment="1">
      <alignment horizontal="left"/>
    </xf>
    <xf numFmtId="43" fontId="82" fillId="0" borderId="29" xfId="0" applyNumberFormat="1" applyFont="1" applyBorder="1" applyAlignment="1">
      <alignment horizontal="left" vertical="center" wrapText="1"/>
    </xf>
    <xf numFmtId="0" fontId="82" fillId="0" borderId="109" xfId="0" applyFont="1" applyBorder="1" applyAlignment="1">
      <alignment horizontal="left" vertical="center"/>
    </xf>
    <xf numFmtId="0" fontId="82" fillId="0" borderId="110" xfId="0" applyFont="1" applyBorder="1" applyAlignment="1">
      <alignment horizontal="left" vertical="center"/>
    </xf>
    <xf numFmtId="0" fontId="81" fillId="0" borderId="29" xfId="0" applyFont="1" applyBorder="1" applyAlignment="1" applyProtection="1">
      <alignment horizontal="left" vertical="top" wrapText="1"/>
      <protection locked="0"/>
    </xf>
    <xf numFmtId="0" fontId="81" fillId="0" borderId="109" xfId="0" applyFont="1" applyBorder="1" applyAlignment="1" applyProtection="1">
      <alignment horizontal="left" vertical="top" wrapText="1"/>
      <protection locked="0"/>
    </xf>
    <xf numFmtId="0" fontId="81" fillId="0" borderId="110" xfId="0" applyFont="1" applyBorder="1" applyAlignment="1" applyProtection="1">
      <alignment horizontal="left" vertical="top" wrapText="1"/>
      <protection locked="0"/>
    </xf>
    <xf numFmtId="0" fontId="81" fillId="40" borderId="29" xfId="0" applyFont="1" applyFill="1" applyBorder="1" applyAlignment="1" applyProtection="1">
      <alignment horizontal="left" vertical="center" wrapText="1"/>
      <protection locked="0"/>
    </xf>
    <xf numFmtId="0" fontId="81" fillId="40" borderId="109" xfId="0" applyFont="1" applyFill="1" applyBorder="1" applyAlignment="1" applyProtection="1">
      <alignment horizontal="left" vertical="center" wrapText="1"/>
      <protection locked="0"/>
    </xf>
    <xf numFmtId="0" fontId="81" fillId="40" borderId="110" xfId="0" applyFont="1" applyFill="1" applyBorder="1" applyAlignment="1" applyProtection="1">
      <alignment horizontal="left" vertical="center" wrapText="1"/>
      <protection locked="0"/>
    </xf>
    <xf numFmtId="43" fontId="82" fillId="0" borderId="114" xfId="0" applyNumberFormat="1" applyFont="1" applyBorder="1" applyAlignment="1">
      <alignment horizontal="left" vertical="center" wrapText="1"/>
    </xf>
    <xf numFmtId="0" fontId="81" fillId="0" borderId="114" xfId="0" applyFont="1" applyBorder="1" applyAlignment="1">
      <alignment horizontal="left" wrapText="1"/>
    </xf>
    <xf numFmtId="0" fontId="81" fillId="0" borderId="115" xfId="0" applyFont="1" applyBorder="1" applyAlignment="1">
      <alignment horizontal="left" wrapText="1"/>
    </xf>
    <xf numFmtId="0" fontId="81" fillId="0" borderId="116" xfId="0" applyFont="1" applyBorder="1" applyAlignment="1">
      <alignment horizontal="left" wrapText="1"/>
    </xf>
    <xf numFmtId="0" fontId="3" fillId="0" borderId="66" xfId="0" applyFont="1" applyBorder="1" applyAlignment="1">
      <alignment horizontal="left" vertical="center" wrapText="1"/>
    </xf>
    <xf numFmtId="0" fontId="3" fillId="0" borderId="104" xfId="0" applyFont="1" applyBorder="1" applyAlignment="1">
      <alignment horizontal="left" vertical="center" wrapText="1"/>
    </xf>
    <xf numFmtId="0" fontId="3" fillId="0" borderId="106" xfId="0" applyFont="1" applyBorder="1" applyAlignment="1">
      <alignment horizontal="left" vertical="center" wrapText="1"/>
    </xf>
    <xf numFmtId="0" fontId="139" fillId="0" borderId="29" xfId="0" applyFont="1" applyBorder="1" applyAlignment="1">
      <alignment horizontal="left" vertical="top" wrapText="1"/>
    </xf>
    <xf numFmtId="0" fontId="139" fillId="0" borderId="109" xfId="0" applyFont="1" applyBorder="1" applyAlignment="1">
      <alignment horizontal="left" vertical="top" wrapText="1"/>
    </xf>
    <xf numFmtId="0" fontId="139" fillId="0" borderId="110" xfId="0" applyFont="1" applyBorder="1" applyAlignment="1">
      <alignment horizontal="left" vertical="top" wrapText="1"/>
    </xf>
    <xf numFmtId="0" fontId="3" fillId="0" borderId="109" xfId="0" applyFont="1" applyBorder="1" applyAlignment="1">
      <alignment horizontal="left" vertical="center" wrapText="1"/>
    </xf>
    <xf numFmtId="0" fontId="3" fillId="0" borderId="110" xfId="0" applyFont="1" applyBorder="1" applyAlignment="1">
      <alignment horizontal="left" vertical="center" wrapText="1"/>
    </xf>
    <xf numFmtId="43" fontId="18" fillId="31" borderId="0" xfId="48" applyFont="1" applyFill="1" applyAlignment="1" applyProtection="1">
      <alignment horizontal="center" vertical="center"/>
    </xf>
    <xf numFmtId="0" fontId="64" fillId="25" borderId="29" xfId="0" applyFont="1" applyFill="1" applyBorder="1" applyAlignment="1">
      <alignment horizontal="center"/>
    </xf>
    <xf numFmtId="0" fontId="64" fillId="25" borderId="109" xfId="0" applyFont="1" applyFill="1" applyBorder="1" applyAlignment="1">
      <alignment horizontal="center"/>
    </xf>
    <xf numFmtId="0" fontId="64" fillId="25" borderId="110" xfId="0" applyFont="1" applyFill="1" applyBorder="1" applyAlignment="1">
      <alignment horizontal="center"/>
    </xf>
    <xf numFmtId="9" fontId="82" fillId="0" borderId="29" xfId="57" applyFont="1" applyBorder="1" applyAlignment="1">
      <alignment horizontal="left" vertical="center" wrapText="1"/>
    </xf>
    <xf numFmtId="9" fontId="82" fillId="0" borderId="109" xfId="57" applyFont="1" applyBorder="1" applyAlignment="1">
      <alignment horizontal="left" vertical="center" wrapText="1"/>
    </xf>
    <xf numFmtId="9" fontId="82" fillId="0" borderId="110" xfId="57" applyFont="1" applyBorder="1" applyAlignment="1">
      <alignment horizontal="left" vertical="center" wrapText="1"/>
    </xf>
    <xf numFmtId="0" fontId="82" fillId="0" borderId="115" xfId="0" applyFont="1" applyBorder="1" applyAlignment="1">
      <alignment horizontal="left" vertical="center"/>
    </xf>
    <xf numFmtId="0" fontId="82" fillId="0" borderId="116" xfId="0" applyFont="1" applyBorder="1" applyAlignment="1">
      <alignment horizontal="left" vertical="center"/>
    </xf>
    <xf numFmtId="0" fontId="29" fillId="0" borderId="107" xfId="0" applyFont="1" applyBorder="1" applyAlignment="1">
      <alignment horizontal="left"/>
    </xf>
    <xf numFmtId="0" fontId="64" fillId="0" borderId="0" xfId="0" applyFont="1" applyBorder="1" applyAlignment="1">
      <alignment horizontal="left" wrapText="1"/>
    </xf>
    <xf numFmtId="0" fontId="29" fillId="0" borderId="0" xfId="0" applyFont="1" applyBorder="1" applyAlignment="1">
      <alignment horizontal="left" wrapText="1"/>
    </xf>
    <xf numFmtId="0" fontId="29" fillId="0" borderId="107" xfId="0" applyFont="1" applyBorder="1" applyAlignment="1">
      <alignment horizontal="left" wrapText="1"/>
    </xf>
    <xf numFmtId="0" fontId="82" fillId="0" borderId="107" xfId="0" applyFont="1" applyBorder="1" applyAlignment="1">
      <alignment horizontal="left" wrapText="1"/>
    </xf>
    <xf numFmtId="0" fontId="81" fillId="0" borderId="107" xfId="0" applyFont="1" applyBorder="1" applyAlignment="1">
      <alignment horizontal="left" wrapText="1"/>
    </xf>
    <xf numFmtId="0" fontId="82" fillId="0" borderId="66" xfId="0" applyNumberFormat="1" applyFont="1" applyBorder="1" applyAlignment="1">
      <alignment horizontal="left" vertical="center" wrapText="1"/>
    </xf>
    <xf numFmtId="0" fontId="81" fillId="0" borderId="104" xfId="0" applyNumberFormat="1" applyFont="1" applyBorder="1" applyAlignment="1">
      <alignment horizontal="left" vertical="center" wrapText="1"/>
    </xf>
    <xf numFmtId="0" fontId="81" fillId="0" borderId="106" xfId="0" applyNumberFormat="1" applyFont="1" applyBorder="1" applyAlignment="1">
      <alignment horizontal="left" vertical="center" wrapText="1"/>
    </xf>
    <xf numFmtId="0" fontId="0" fillId="19" borderId="144" xfId="0" applyFill="1" applyBorder="1" applyAlignment="1" applyProtection="1">
      <alignment horizontal="center" vertical="center" textRotation="90"/>
    </xf>
    <xf numFmtId="43" fontId="15" fillId="0" borderId="145" xfId="0" applyNumberFormat="1" applyFont="1" applyBorder="1" applyAlignment="1" applyProtection="1">
      <alignment horizontal="center"/>
    </xf>
    <xf numFmtId="0" fontId="15" fillId="0" borderId="146" xfId="0" applyFont="1" applyBorder="1" applyAlignment="1" applyProtection="1">
      <alignment horizontal="center"/>
    </xf>
    <xf numFmtId="0" fontId="15" fillId="0" borderId="147" xfId="0" applyFont="1" applyBorder="1" applyAlignment="1" applyProtection="1">
      <alignment horizontal="center"/>
    </xf>
    <xf numFmtId="49" fontId="3" fillId="32" borderId="117" xfId="0" applyNumberFormat="1" applyFont="1" applyFill="1" applyBorder="1" applyAlignment="1" applyProtection="1">
      <alignment horizontal="left" vertical="center" wrapText="1"/>
      <protection locked="0"/>
    </xf>
    <xf numFmtId="49" fontId="68" fillId="32" borderId="10" xfId="0" applyNumberFormat="1" applyFont="1" applyFill="1" applyBorder="1" applyAlignment="1" applyProtection="1">
      <alignment horizontal="left" vertical="center" wrapText="1"/>
      <protection locked="0"/>
    </xf>
    <xf numFmtId="49" fontId="68" fillId="32" borderId="29" xfId="0" applyNumberFormat="1" applyFont="1" applyFill="1" applyBorder="1" applyAlignment="1" applyProtection="1">
      <alignment horizontal="left" vertical="center" wrapText="1"/>
      <protection locked="0"/>
    </xf>
    <xf numFmtId="49" fontId="68" fillId="32" borderId="117" xfId="0" applyNumberFormat="1" applyFont="1" applyFill="1" applyBorder="1" applyAlignment="1" applyProtection="1">
      <alignment horizontal="left" vertical="center" wrapText="1"/>
      <protection locked="0"/>
    </xf>
    <xf numFmtId="0" fontId="27" fillId="0" borderId="148" xfId="0" applyFont="1" applyBorder="1" applyAlignment="1" applyProtection="1">
      <alignment horizontal="center" wrapText="1"/>
    </xf>
    <xf numFmtId="0" fontId="27" fillId="0" borderId="149" xfId="0" applyFont="1" applyBorder="1" applyAlignment="1" applyProtection="1">
      <alignment horizontal="center" wrapText="1"/>
    </xf>
    <xf numFmtId="0" fontId="27" fillId="0" borderId="150" xfId="0" applyFont="1" applyBorder="1" applyAlignment="1" applyProtection="1">
      <alignment horizontal="center" wrapText="1"/>
    </xf>
    <xf numFmtId="49" fontId="3" fillId="32" borderId="121" xfId="0" applyNumberFormat="1" applyFont="1" applyFill="1" applyBorder="1" applyAlignment="1" applyProtection="1">
      <alignment horizontal="center" vertical="center" wrapText="1"/>
      <protection locked="0"/>
    </xf>
    <xf numFmtId="49" fontId="3" fillId="32" borderId="122" xfId="0" applyNumberFormat="1" applyFont="1" applyFill="1" applyBorder="1" applyAlignment="1" applyProtection="1">
      <alignment horizontal="center" vertical="center" wrapText="1"/>
      <protection locked="0"/>
    </xf>
    <xf numFmtId="49" fontId="3" fillId="32" borderId="117" xfId="0" applyNumberFormat="1" applyFont="1" applyFill="1" applyBorder="1" applyAlignment="1" applyProtection="1">
      <alignment horizontal="center" vertical="center" wrapText="1"/>
      <protection locked="0"/>
    </xf>
    <xf numFmtId="49" fontId="68" fillId="32" borderId="117" xfId="0" applyNumberFormat="1" applyFont="1" applyFill="1" applyBorder="1" applyAlignment="1" applyProtection="1">
      <alignment horizontal="center" vertical="center" wrapText="1"/>
      <protection locked="0"/>
    </xf>
    <xf numFmtId="49" fontId="3" fillId="27" borderId="117" xfId="0" applyNumberFormat="1" applyFont="1" applyFill="1" applyBorder="1" applyAlignment="1" applyProtection="1">
      <alignment horizontal="left" vertical="center" wrapText="1"/>
      <protection locked="0"/>
    </xf>
    <xf numFmtId="49" fontId="68" fillId="27" borderId="10" xfId="0" applyNumberFormat="1" applyFont="1" applyFill="1" applyBorder="1" applyAlignment="1" applyProtection="1">
      <alignment horizontal="left" vertical="center" wrapText="1"/>
      <protection locked="0"/>
    </xf>
    <xf numFmtId="49" fontId="68" fillId="27" borderId="29" xfId="0" applyNumberFormat="1" applyFont="1" applyFill="1" applyBorder="1" applyAlignment="1" applyProtection="1">
      <alignment horizontal="left" vertical="center" wrapText="1"/>
      <protection locked="0"/>
    </xf>
    <xf numFmtId="49" fontId="68" fillId="27" borderId="117" xfId="0" applyNumberFormat="1" applyFont="1" applyFill="1" applyBorder="1" applyAlignment="1" applyProtection="1">
      <alignment horizontal="left" vertical="center" wrapText="1"/>
      <protection locked="0"/>
    </xf>
    <xf numFmtId="49" fontId="15" fillId="0" borderId="25" xfId="0" applyNumberFormat="1" applyFont="1" applyBorder="1" applyAlignment="1" applyProtection="1">
      <alignment horizontal="center"/>
    </xf>
    <xf numFmtId="49" fontId="15" fillId="0" borderId="45" xfId="0" applyNumberFormat="1" applyFont="1" applyBorder="1" applyAlignment="1" applyProtection="1">
      <alignment horizontal="center"/>
    </xf>
    <xf numFmtId="49" fontId="3" fillId="29" borderId="117" xfId="0" applyNumberFormat="1" applyFont="1" applyFill="1" applyBorder="1" applyAlignment="1" applyProtection="1">
      <alignment horizontal="left" vertical="center" wrapText="1"/>
      <protection locked="0"/>
    </xf>
    <xf numFmtId="49" fontId="68" fillId="29" borderId="10" xfId="0" applyNumberFormat="1" applyFont="1" applyFill="1" applyBorder="1" applyAlignment="1" applyProtection="1">
      <alignment horizontal="left" vertical="center" wrapText="1"/>
      <protection locked="0"/>
    </xf>
    <xf numFmtId="49" fontId="68" fillId="29" borderId="29" xfId="0" applyNumberFormat="1" applyFont="1" applyFill="1" applyBorder="1" applyAlignment="1" applyProtection="1">
      <alignment horizontal="left" vertical="center" wrapText="1"/>
      <protection locked="0"/>
    </xf>
    <xf numFmtId="49" fontId="68" fillId="29" borderId="117" xfId="0" applyNumberFormat="1" applyFont="1" applyFill="1" applyBorder="1" applyAlignment="1" applyProtection="1">
      <alignment horizontal="left" vertical="center" wrapText="1"/>
      <protection locked="0"/>
    </xf>
    <xf numFmtId="43" fontId="62" fillId="31" borderId="0" xfId="40" applyFont="1" applyFill="1" applyAlignment="1" applyProtection="1">
      <alignment horizontal="center" vertical="center"/>
    </xf>
    <xf numFmtId="49" fontId="0" fillId="0" borderId="29" xfId="0" applyNumberFormat="1" applyBorder="1" applyAlignment="1" applyProtection="1">
      <alignment horizontal="center"/>
      <protection locked="0"/>
    </xf>
    <xf numFmtId="49" fontId="0" fillId="0" borderId="110" xfId="0" applyNumberFormat="1" applyBorder="1" applyAlignment="1" applyProtection="1">
      <alignment horizontal="center"/>
      <protection locked="0"/>
    </xf>
    <xf numFmtId="0" fontId="107" fillId="0" borderId="0" xfId="0" applyFont="1" applyAlignment="1" applyProtection="1">
      <alignment horizontal="right"/>
    </xf>
    <xf numFmtId="49" fontId="0" fillId="0" borderId="109" xfId="0" applyNumberFormat="1" applyBorder="1" applyAlignment="1" applyProtection="1">
      <alignment horizontal="center"/>
      <protection locked="0"/>
    </xf>
    <xf numFmtId="0" fontId="0" fillId="27" borderId="29" xfId="0" applyFill="1" applyBorder="1" applyAlignment="1" applyProtection="1">
      <alignment horizontal="center"/>
    </xf>
    <xf numFmtId="0" fontId="0" fillId="27" borderId="110" xfId="0" applyFill="1" applyBorder="1" applyAlignment="1" applyProtection="1">
      <alignment horizontal="center"/>
    </xf>
    <xf numFmtId="174" fontId="128" fillId="0" borderId="29" xfId="29" applyNumberFormat="1" applyFont="1" applyBorder="1" applyAlignment="1" applyProtection="1">
      <alignment horizontal="left"/>
      <protection locked="0"/>
    </xf>
    <xf numFmtId="174" fontId="128" fillId="0" borderId="110" xfId="29" applyNumberFormat="1" applyFont="1" applyBorder="1" applyAlignment="1" applyProtection="1">
      <alignment horizontal="left"/>
      <protection locked="0"/>
    </xf>
    <xf numFmtId="0" fontId="107" fillId="0" borderId="0" xfId="0" applyFont="1" applyBorder="1" applyAlignment="1" applyProtection="1">
      <alignment horizontal="right"/>
    </xf>
    <xf numFmtId="0" fontId="107" fillId="0" borderId="140" xfId="0" applyFont="1" applyBorder="1" applyAlignment="1" applyProtection="1">
      <alignment horizontal="right"/>
    </xf>
    <xf numFmtId="0" fontId="78" fillId="0" borderId="141" xfId="0" applyFont="1" applyFill="1" applyBorder="1" applyAlignment="1" applyProtection="1">
      <alignment horizontal="center" vertical="center"/>
    </xf>
    <xf numFmtId="0" fontId="78" fillId="0" borderId="142" xfId="0" applyFont="1" applyFill="1" applyBorder="1" applyAlignment="1" applyProtection="1">
      <alignment horizontal="center" vertical="center"/>
    </xf>
    <xf numFmtId="0" fontId="78" fillId="0" borderId="143" xfId="0" applyFont="1" applyFill="1" applyBorder="1" applyAlignment="1" applyProtection="1">
      <alignment horizontal="center" vertical="center"/>
    </xf>
    <xf numFmtId="49" fontId="0" fillId="0" borderId="29" xfId="0" applyNumberFormat="1" applyBorder="1" applyAlignment="1" applyProtection="1">
      <alignment horizontal="left"/>
      <protection locked="0"/>
    </xf>
    <xf numFmtId="49" fontId="0" fillId="0" borderId="109" xfId="0" applyNumberFormat="1" applyBorder="1" applyAlignment="1" applyProtection="1">
      <alignment horizontal="left"/>
      <protection locked="0"/>
    </xf>
    <xf numFmtId="49" fontId="0" fillId="0" borderId="110" xfId="0" applyNumberFormat="1" applyBorder="1" applyAlignment="1" applyProtection="1">
      <alignment horizontal="left"/>
      <protection locked="0"/>
    </xf>
    <xf numFmtId="0" fontId="107" fillId="0" borderId="48" xfId="0" applyFont="1" applyBorder="1" applyAlignment="1" applyProtection="1">
      <alignment horizontal="right"/>
    </xf>
    <xf numFmtId="15" fontId="116" fillId="0" borderId="10" xfId="59" applyNumberFormat="1" applyFont="1" applyFill="1" applyBorder="1" applyAlignment="1" applyProtection="1">
      <alignment horizontal="center"/>
      <protection locked="0"/>
    </xf>
    <xf numFmtId="15" fontId="134" fillId="0" borderId="10" xfId="59" applyNumberFormat="1" applyFill="1" applyBorder="1" applyAlignment="1" applyProtection="1">
      <alignment horizontal="center"/>
      <protection locked="0"/>
    </xf>
    <xf numFmtId="49" fontId="1" fillId="0" borderId="29" xfId="0" applyNumberFormat="1" applyFont="1" applyBorder="1" applyAlignment="1" applyProtection="1">
      <alignment horizontal="left"/>
      <protection locked="0"/>
    </xf>
    <xf numFmtId="49" fontId="1" fillId="0" borderId="109" xfId="0" applyNumberFormat="1" applyFont="1" applyBorder="1" applyAlignment="1" applyProtection="1">
      <alignment horizontal="left"/>
      <protection locked="0"/>
    </xf>
    <xf numFmtId="49" fontId="1" fillId="0" borderId="110" xfId="0" applyNumberFormat="1" applyFont="1" applyBorder="1" applyAlignment="1" applyProtection="1">
      <alignment horizontal="left"/>
      <protection locked="0"/>
    </xf>
    <xf numFmtId="43" fontId="16" fillId="34" borderId="10" xfId="59" applyFont="1" applyFill="1" applyBorder="1" applyAlignment="1" applyProtection="1">
      <alignment horizontal="center"/>
      <protection locked="0"/>
    </xf>
    <xf numFmtId="49" fontId="68" fillId="29" borderId="110" xfId="0" applyNumberFormat="1" applyFont="1" applyFill="1" applyBorder="1" applyAlignment="1" applyProtection="1">
      <alignment horizontal="center" vertical="center" wrapText="1"/>
      <protection locked="0"/>
    </xf>
    <xf numFmtId="0" fontId="0" fillId="0" borderId="135" xfId="0" applyBorder="1" applyAlignment="1" applyProtection="1">
      <alignment horizontal="center"/>
    </xf>
    <xf numFmtId="0" fontId="0" fillId="0" borderId="21" xfId="0" applyBorder="1" applyAlignment="1" applyProtection="1">
      <alignment horizontal="center"/>
    </xf>
    <xf numFmtId="0" fontId="85" fillId="0" borderId="136" xfId="0" applyFont="1" applyBorder="1" applyAlignment="1" applyProtection="1">
      <alignment horizontal="right"/>
    </xf>
    <xf numFmtId="0" fontId="112" fillId="0" borderId="136" xfId="0" applyFont="1" applyBorder="1" applyAlignment="1"/>
    <xf numFmtId="0" fontId="0" fillId="0" borderId="137" xfId="0" applyFill="1" applyBorder="1" applyAlignment="1" applyProtection="1">
      <alignment horizontal="center" vertical="center"/>
      <protection locked="0"/>
    </xf>
    <xf numFmtId="0" fontId="0" fillId="0" borderId="138" xfId="0" applyFill="1" applyBorder="1" applyAlignment="1" applyProtection="1">
      <alignment horizontal="center" vertical="center"/>
      <protection locked="0"/>
    </xf>
    <xf numFmtId="0" fontId="0" fillId="0" borderId="139" xfId="0" applyFill="1" applyBorder="1" applyAlignment="1" applyProtection="1">
      <alignment horizontal="center" vertical="center"/>
      <protection locked="0"/>
    </xf>
    <xf numFmtId="49" fontId="3" fillId="29" borderId="110" xfId="0" applyNumberFormat="1" applyFont="1" applyFill="1" applyBorder="1" applyAlignment="1" applyProtection="1">
      <alignment horizontal="center" vertical="center" wrapText="1"/>
      <protection locked="0"/>
    </xf>
    <xf numFmtId="0" fontId="68" fillId="29" borderId="123" xfId="0" applyNumberFormat="1" applyFont="1" applyFill="1" applyBorder="1" applyAlignment="1" applyProtection="1">
      <alignment horizontal="center" vertical="center" wrapText="1"/>
      <protection locked="0"/>
    </xf>
    <xf numFmtId="49" fontId="15" fillId="0" borderId="23" xfId="0" applyNumberFormat="1" applyFont="1" applyBorder="1" applyAlignment="1" applyProtection="1">
      <alignment horizontal="center"/>
    </xf>
    <xf numFmtId="49" fontId="15" fillId="0" borderId="10" xfId="0" applyNumberFormat="1" applyFont="1" applyBorder="1" applyAlignment="1" applyProtection="1">
      <alignment horizontal="center"/>
    </xf>
    <xf numFmtId="0" fontId="68" fillId="0" borderId="110" xfId="0" applyFont="1" applyFill="1" applyBorder="1" applyAlignment="1" applyProtection="1">
      <alignment horizontal="center" vertical="center" wrapText="1"/>
    </xf>
    <xf numFmtId="0" fontId="68" fillId="0" borderId="123" xfId="0" applyFont="1" applyFill="1" applyBorder="1" applyAlignment="1" applyProtection="1">
      <alignment horizontal="center" vertical="center" wrapText="1"/>
    </xf>
    <xf numFmtId="49" fontId="68" fillId="32" borderId="121" xfId="0" applyNumberFormat="1" applyFont="1" applyFill="1" applyBorder="1" applyAlignment="1" applyProtection="1">
      <alignment horizontal="center" vertical="center" wrapText="1"/>
      <protection locked="0"/>
    </xf>
    <xf numFmtId="49" fontId="68" fillId="32" borderId="122" xfId="0" applyNumberFormat="1" applyFont="1" applyFill="1" applyBorder="1" applyAlignment="1" applyProtection="1">
      <alignment horizontal="center" vertical="center" wrapText="1"/>
      <protection locked="0"/>
    </xf>
    <xf numFmtId="0" fontId="68" fillId="29" borderId="133" xfId="0" applyNumberFormat="1" applyFont="1" applyFill="1" applyBorder="1" applyAlignment="1" applyProtection="1">
      <alignment horizontal="center" vertical="center" wrapText="1"/>
      <protection locked="0"/>
    </xf>
    <xf numFmtId="49" fontId="68" fillId="29" borderId="134" xfId="0" applyNumberFormat="1" applyFont="1" applyFill="1" applyBorder="1" applyAlignment="1" applyProtection="1">
      <alignment horizontal="center" vertical="center" wrapText="1"/>
      <protection locked="0"/>
    </xf>
    <xf numFmtId="0" fontId="68" fillId="0" borderId="127" xfId="0" applyFont="1" applyFill="1" applyBorder="1" applyAlignment="1" applyProtection="1">
      <alignment horizontal="left" vertical="center" wrapText="1"/>
    </xf>
    <xf numFmtId="0" fontId="68" fillId="0" borderId="109" xfId="0" applyFont="1" applyFill="1" applyBorder="1" applyAlignment="1" applyProtection="1">
      <alignment horizontal="left" vertical="center" wrapText="1"/>
    </xf>
    <xf numFmtId="0" fontId="68" fillId="0" borderId="128" xfId="0" applyFont="1" applyFill="1" applyBorder="1" applyAlignment="1" applyProtection="1">
      <alignment horizontal="left" vertical="center" wrapText="1"/>
    </xf>
    <xf numFmtId="0" fontId="68" fillId="0" borderId="129" xfId="0" applyFont="1" applyFill="1" applyBorder="1" applyAlignment="1" applyProtection="1">
      <alignment horizontal="left" vertical="center" wrapText="1"/>
    </xf>
    <xf numFmtId="0" fontId="68" fillId="0" borderId="130" xfId="0" applyFont="1" applyFill="1" applyBorder="1" applyAlignment="1" applyProtection="1">
      <alignment horizontal="left" vertical="center" wrapText="1"/>
    </xf>
    <xf numFmtId="0" fontId="68" fillId="0" borderId="131" xfId="0" applyFont="1" applyFill="1" applyBorder="1" applyAlignment="1" applyProtection="1">
      <alignment horizontal="left" vertical="center" wrapText="1"/>
    </xf>
    <xf numFmtId="49" fontId="68" fillId="29" borderId="132" xfId="0" applyNumberFormat="1" applyFont="1" applyFill="1" applyBorder="1" applyAlignment="1" applyProtection="1">
      <alignment horizontal="left" vertical="center" wrapText="1"/>
      <protection locked="0"/>
    </xf>
    <xf numFmtId="49" fontId="68" fillId="29" borderId="61" xfId="0" applyNumberFormat="1" applyFont="1" applyFill="1" applyBorder="1" applyAlignment="1" applyProtection="1">
      <alignment horizontal="left" vertical="center" wrapText="1"/>
      <protection locked="0"/>
    </xf>
    <xf numFmtId="49" fontId="68" fillId="29" borderId="30" xfId="0" applyNumberFormat="1" applyFont="1" applyFill="1" applyBorder="1" applyAlignment="1" applyProtection="1">
      <alignment horizontal="left" vertical="center" wrapText="1"/>
      <protection locked="0"/>
    </xf>
    <xf numFmtId="9" fontId="34" fillId="0" borderId="118" xfId="57" applyFont="1" applyFill="1" applyBorder="1" applyAlignment="1" applyProtection="1">
      <alignment horizontal="center" vertical="center"/>
    </xf>
    <xf numFmtId="9" fontId="34" fillId="0" borderId="119" xfId="57" applyFont="1" applyFill="1" applyBorder="1" applyAlignment="1" applyProtection="1">
      <alignment horizontal="center" vertical="center"/>
    </xf>
    <xf numFmtId="9" fontId="34" fillId="0" borderId="120" xfId="57" applyFont="1" applyFill="1" applyBorder="1" applyAlignment="1" applyProtection="1">
      <alignment horizontal="center" vertical="center"/>
    </xf>
    <xf numFmtId="0" fontId="0" fillId="33" borderId="124" xfId="0" applyFill="1" applyBorder="1" applyAlignment="1" applyProtection="1">
      <alignment horizontal="center"/>
    </xf>
    <xf numFmtId="0" fontId="0" fillId="33" borderId="125" xfId="0" applyFill="1" applyBorder="1" applyAlignment="1" applyProtection="1">
      <alignment horizontal="center"/>
    </xf>
    <xf numFmtId="0" fontId="0" fillId="33" borderId="126" xfId="0" applyFill="1" applyBorder="1" applyAlignment="1" applyProtection="1">
      <alignment horizontal="center"/>
    </xf>
    <xf numFmtId="43" fontId="100" fillId="31" borderId="0" xfId="40" applyFont="1" applyFill="1" applyAlignment="1" applyProtection="1">
      <alignment horizontal="center" vertical="center"/>
    </xf>
    <xf numFmtId="43" fontId="25" fillId="24" borderId="65" xfId="59" applyFont="1" applyFill="1" applyBorder="1" applyAlignment="1" applyProtection="1">
      <alignment horizontal="left"/>
    </xf>
    <xf numFmtId="43" fontId="34" fillId="24" borderId="0" xfId="51" applyFont="1" applyFill="1" applyAlignment="1" applyProtection="1">
      <alignment horizontal="center" vertical="center" wrapText="1"/>
    </xf>
    <xf numFmtId="173" fontId="25" fillId="24" borderId="65" xfId="59" applyNumberFormat="1" applyFont="1" applyFill="1" applyBorder="1" applyAlignment="1" applyProtection="1">
      <alignment horizontal="left"/>
    </xf>
    <xf numFmtId="43" fontId="2" fillId="0" borderId="65" xfId="59" applyFont="1" applyBorder="1" applyAlignment="1" applyProtection="1">
      <alignment horizontal="right"/>
    </xf>
    <xf numFmtId="43" fontId="2" fillId="0" borderId="65" xfId="59" applyFont="1" applyFill="1" applyBorder="1" applyAlignment="1" applyProtection="1">
      <alignment horizontal="right"/>
    </xf>
    <xf numFmtId="43" fontId="21" fillId="0" borderId="0" xfId="51" applyFont="1" applyFill="1" applyAlignment="1" applyProtection="1">
      <alignment horizontal="right" vertical="center"/>
    </xf>
    <xf numFmtId="43" fontId="25" fillId="24" borderId="0" xfId="51" applyFont="1" applyFill="1" applyAlignment="1" applyProtection="1">
      <alignment horizontal="center" vertical="center" wrapText="1"/>
    </xf>
    <xf numFmtId="43" fontId="110" fillId="30" borderId="65" xfId="59" applyFont="1" applyFill="1" applyBorder="1" applyAlignment="1" applyProtection="1">
      <alignment horizontal="center"/>
    </xf>
    <xf numFmtId="15" fontId="25" fillId="24" borderId="65" xfId="59" applyNumberFormat="1" applyFont="1" applyFill="1" applyBorder="1" applyAlignment="1" applyProtection="1">
      <alignment horizontal="left"/>
    </xf>
    <xf numFmtId="0" fontId="0" fillId="0" borderId="65" xfId="0" applyBorder="1" applyAlignment="1">
      <alignment horizontal="left"/>
    </xf>
    <xf numFmtId="0" fontId="104" fillId="0" borderId="0" xfId="0" applyFont="1" applyAlignment="1" applyProtection="1">
      <alignment horizontal="center"/>
    </xf>
    <xf numFmtId="43" fontId="103" fillId="0" borderId="124" xfId="0" applyNumberFormat="1" applyFont="1" applyBorder="1" applyAlignment="1" applyProtection="1">
      <alignment horizontal="center" vertical="center" wrapText="1"/>
    </xf>
    <xf numFmtId="43" fontId="103" fillId="0" borderId="125" xfId="0" applyNumberFormat="1" applyFont="1" applyBorder="1" applyAlignment="1" applyProtection="1">
      <alignment horizontal="center" vertical="center" wrapText="1"/>
    </xf>
    <xf numFmtId="43" fontId="103" fillId="0" borderId="126" xfId="0" applyNumberFormat="1" applyFont="1" applyBorder="1" applyAlignment="1" applyProtection="1">
      <alignment horizontal="center" vertical="center" wrapText="1"/>
    </xf>
    <xf numFmtId="0" fontId="0" fillId="0" borderId="154" xfId="0" applyBorder="1" applyAlignment="1" applyProtection="1">
      <alignment horizontal="center"/>
    </xf>
    <xf numFmtId="0" fontId="0" fillId="0" borderId="64" xfId="0" applyBorder="1" applyAlignment="1" applyProtection="1">
      <alignment horizontal="center"/>
    </xf>
    <xf numFmtId="0" fontId="31" fillId="27" borderId="29" xfId="0" applyFont="1" applyFill="1" applyBorder="1" applyAlignment="1" applyProtection="1">
      <alignment horizontal="left" wrapText="1"/>
      <protection locked="0"/>
    </xf>
    <xf numFmtId="0" fontId="0" fillId="0" borderId="109" xfId="0" applyBorder="1" applyAlignment="1" applyProtection="1">
      <alignment horizontal="left" wrapText="1"/>
      <protection locked="0"/>
    </xf>
    <xf numFmtId="0" fontId="111" fillId="0" borderId="151" xfId="0" applyFont="1" applyFill="1" applyBorder="1" applyAlignment="1" applyProtection="1">
      <alignment horizontal="left" wrapText="1"/>
    </xf>
    <xf numFmtId="0" fontId="111" fillId="0" borderId="93" xfId="0" applyFont="1" applyFill="1" applyBorder="1" applyAlignment="1" applyProtection="1">
      <alignment horizontal="left" wrapText="1"/>
    </xf>
    <xf numFmtId="43" fontId="15" fillId="0" borderId="0" xfId="0" applyNumberFormat="1" applyFont="1" applyAlignment="1" applyProtection="1">
      <alignment horizontal="center" wrapText="1"/>
    </xf>
    <xf numFmtId="43" fontId="29" fillId="0" borderId="0" xfId="0" applyNumberFormat="1" applyFont="1" applyAlignment="1" applyProtection="1">
      <alignment horizontal="right"/>
    </xf>
    <xf numFmtId="15" fontId="29" fillId="0" borderId="0" xfId="0" applyNumberFormat="1" applyFont="1" applyAlignment="1" applyProtection="1">
      <alignment horizontal="right"/>
    </xf>
    <xf numFmtId="43" fontId="15" fillId="0" borderId="0" xfId="0" applyNumberFormat="1" applyFont="1" applyAlignment="1" applyProtection="1">
      <alignment horizontal="center"/>
    </xf>
    <xf numFmtId="43" fontId="29" fillId="0" borderId="0" xfId="0" applyNumberFormat="1" applyFont="1" applyAlignment="1" applyProtection="1">
      <alignment horizontal="left"/>
    </xf>
    <xf numFmtId="43" fontId="16" fillId="30" borderId="0" xfId="59" applyFont="1" applyFill="1" applyBorder="1" applyAlignment="1" applyProtection="1">
      <alignment horizontal="center"/>
    </xf>
    <xf numFmtId="0" fontId="0" fillId="0" borderId="110" xfId="0" applyBorder="1" applyAlignment="1" applyProtection="1">
      <alignment horizontal="left" wrapText="1"/>
      <protection locked="0"/>
    </xf>
    <xf numFmtId="0" fontId="35" fillId="27" borderId="29" xfId="0" applyFont="1" applyFill="1" applyBorder="1" applyAlignment="1" applyProtection="1">
      <alignment horizontal="left" wrapText="1"/>
      <protection locked="0"/>
    </xf>
    <xf numFmtId="0" fontId="35" fillId="27" borderId="109" xfId="0" applyFont="1" applyFill="1" applyBorder="1" applyAlignment="1" applyProtection="1">
      <alignment horizontal="left" wrapText="1"/>
      <protection locked="0"/>
    </xf>
    <xf numFmtId="0" fontId="35" fillId="27" borderId="110" xfId="0" applyFont="1" applyFill="1" applyBorder="1" applyAlignment="1" applyProtection="1">
      <alignment horizontal="left" wrapText="1"/>
      <protection locked="0"/>
    </xf>
    <xf numFmtId="0" fontId="111" fillId="0" borderId="152" xfId="0" applyFont="1" applyFill="1" applyBorder="1" applyAlignment="1" applyProtection="1">
      <alignment horizontal="left" wrapText="1"/>
    </xf>
    <xf numFmtId="0" fontId="111" fillId="0" borderId="153" xfId="0" applyFont="1" applyFill="1" applyBorder="1" applyAlignment="1" applyProtection="1">
      <alignment horizontal="left" wrapText="1"/>
    </xf>
    <xf numFmtId="0" fontId="31" fillId="0" borderId="10" xfId="0" applyFont="1" applyBorder="1" applyAlignment="1" applyProtection="1">
      <alignment vertical="center" wrapText="1"/>
    </xf>
    <xf numFmtId="9" fontId="35" fillId="27" borderId="10" xfId="57" applyFont="1" applyFill="1" applyBorder="1" applyAlignment="1" applyProtection="1">
      <alignment horizontal="left" vertical="center" wrapText="1"/>
      <protection locked="0"/>
    </xf>
    <xf numFmtId="0" fontId="35" fillId="27" borderId="29" xfId="0" applyFont="1" applyFill="1" applyBorder="1" applyAlignment="1" applyProtection="1">
      <alignment horizontal="left" vertical="top" wrapText="1"/>
      <protection locked="0"/>
    </xf>
    <xf numFmtId="0" fontId="35" fillId="27" borderId="109" xfId="0" applyFont="1" applyFill="1" applyBorder="1" applyAlignment="1" applyProtection="1">
      <alignment horizontal="left" vertical="top" wrapText="1"/>
      <protection locked="0"/>
    </xf>
    <xf numFmtId="0" fontId="35" fillId="27" borderId="110" xfId="0" applyFont="1" applyFill="1" applyBorder="1" applyAlignment="1" applyProtection="1">
      <alignment horizontal="left" vertical="top" wrapText="1"/>
      <protection locked="0"/>
    </xf>
    <xf numFmtId="0" fontId="0" fillId="0" borderId="109" xfId="0" applyBorder="1" applyAlignment="1" applyProtection="1">
      <alignment horizontal="left" vertical="top" wrapText="1"/>
      <protection locked="0"/>
    </xf>
    <xf numFmtId="0" fontId="0" fillId="0" borderId="110" xfId="0" applyBorder="1" applyAlignment="1" applyProtection="1">
      <alignment horizontal="left" vertical="top" wrapText="1"/>
      <protection locked="0"/>
    </xf>
    <xf numFmtId="0" fontId="34" fillId="0" borderId="104" xfId="0" applyFont="1" applyBorder="1" applyAlignment="1" applyProtection="1">
      <alignment horizontal="center"/>
    </xf>
    <xf numFmtId="0" fontId="31" fillId="0" borderId="10" xfId="0" applyFont="1" applyBorder="1" applyAlignment="1" applyProtection="1">
      <alignment horizontal="center" vertical="center" wrapText="1"/>
    </xf>
    <xf numFmtId="0" fontId="35" fillId="20" borderId="155" xfId="0" applyFont="1" applyFill="1" applyBorder="1" applyAlignment="1" applyProtection="1">
      <alignment horizontal="left"/>
      <protection locked="0"/>
    </xf>
    <xf numFmtId="0" fontId="35" fillId="20" borderId="0" xfId="0" applyFont="1" applyFill="1" applyBorder="1" applyAlignment="1" applyProtection="1">
      <alignment horizontal="left"/>
      <protection locked="0"/>
    </xf>
    <xf numFmtId="0" fontId="35" fillId="20" borderId="42" xfId="0" applyFont="1" applyFill="1" applyBorder="1" applyAlignment="1" applyProtection="1">
      <alignment horizontal="left"/>
      <protection locked="0"/>
    </xf>
    <xf numFmtId="9" fontId="29" fillId="0" borderId="29" xfId="57" applyFont="1" applyBorder="1" applyAlignment="1" applyProtection="1">
      <alignment horizontal="center" vertical="center" wrapText="1"/>
    </xf>
    <xf numFmtId="9" fontId="29" fillId="0" borderId="109" xfId="57" applyFont="1" applyBorder="1" applyAlignment="1" applyProtection="1">
      <alignment horizontal="center" vertical="center" wrapText="1"/>
    </xf>
    <xf numFmtId="9" fontId="29" fillId="0" borderId="110" xfId="57" applyFont="1" applyBorder="1" applyAlignment="1" applyProtection="1">
      <alignment horizontal="center" vertical="center" wrapText="1"/>
    </xf>
    <xf numFmtId="9" fontId="130" fillId="0" borderId="29" xfId="57" applyFont="1" applyBorder="1" applyAlignment="1" applyProtection="1">
      <alignment horizontal="center" vertical="center" wrapText="1"/>
    </xf>
    <xf numFmtId="9" fontId="130" fillId="0" borderId="109" xfId="57" applyFont="1" applyBorder="1" applyAlignment="1" applyProtection="1">
      <alignment horizontal="center" vertical="center" wrapText="1"/>
    </xf>
    <xf numFmtId="9" fontId="130" fillId="0" borderId="110" xfId="57" applyFont="1" applyBorder="1" applyAlignment="1" applyProtection="1">
      <alignment horizontal="center" vertical="center" wrapText="1"/>
    </xf>
    <xf numFmtId="0" fontId="35" fillId="20" borderId="115" xfId="0" applyFont="1" applyFill="1" applyBorder="1" applyAlignment="1" applyProtection="1">
      <alignment horizontal="left"/>
    </xf>
    <xf numFmtId="0" fontId="35" fillId="20" borderId="115" xfId="0" applyFont="1" applyFill="1" applyBorder="1" applyAlignment="1" applyProtection="1">
      <alignment horizontal="left" vertical="center" wrapText="1"/>
    </xf>
    <xf numFmtId="49" fontId="31" fillId="0" borderId="10" xfId="0" applyNumberFormat="1" applyFont="1" applyBorder="1" applyAlignment="1" applyProtection="1">
      <alignment vertical="center" wrapText="1"/>
    </xf>
    <xf numFmtId="0" fontId="31" fillId="0" borderId="29" xfId="0" applyFont="1" applyBorder="1" applyAlignment="1" applyProtection="1">
      <alignment vertical="center" wrapText="1"/>
    </xf>
    <xf numFmtId="0" fontId="31" fillId="0" borderId="109" xfId="0" applyFont="1" applyBorder="1" applyAlignment="1" applyProtection="1">
      <alignment vertical="center" wrapText="1"/>
    </xf>
    <xf numFmtId="0" fontId="31" fillId="0" borderId="110" xfId="0" applyFont="1" applyBorder="1" applyAlignment="1" applyProtection="1">
      <alignment vertical="center" wrapText="1"/>
    </xf>
    <xf numFmtId="0" fontId="35" fillId="20" borderId="0" xfId="0" applyFont="1" applyFill="1" applyAlignment="1" applyProtection="1">
      <alignment horizontal="left"/>
      <protection locked="0"/>
    </xf>
    <xf numFmtId="0" fontId="35" fillId="20" borderId="0" xfId="0" applyFont="1" applyFill="1" applyBorder="1" applyAlignment="1" applyProtection="1">
      <alignment horizontal="left"/>
    </xf>
    <xf numFmtId="9" fontId="38" fillId="33" borderId="29" xfId="57" applyFont="1" applyFill="1" applyBorder="1" applyAlignment="1" applyProtection="1">
      <alignment horizontal="center" vertical="center" wrapText="1"/>
    </xf>
    <xf numFmtId="9" fontId="38" fillId="33" borderId="110" xfId="57" applyFont="1" applyFill="1" applyBorder="1" applyAlignment="1" applyProtection="1">
      <alignment horizontal="center" vertical="center" wrapText="1"/>
    </xf>
    <xf numFmtId="9" fontId="38" fillId="35" borderId="29" xfId="57" applyFont="1" applyFill="1" applyBorder="1" applyAlignment="1" applyProtection="1">
      <alignment horizontal="center" vertical="center" wrapText="1"/>
    </xf>
    <xf numFmtId="9" fontId="38" fillId="35" borderId="110" xfId="57" applyFont="1" applyFill="1" applyBorder="1" applyAlignment="1" applyProtection="1">
      <alignment horizontal="center" vertical="center" wrapText="1"/>
    </xf>
    <xf numFmtId="0" fontId="35" fillId="0" borderId="29" xfId="0" applyFont="1" applyBorder="1" applyAlignment="1" applyProtection="1">
      <alignment horizontal="center" vertical="center"/>
    </xf>
    <xf numFmtId="0" fontId="35" fillId="0" borderId="109" xfId="0" applyFont="1" applyBorder="1" applyAlignment="1" applyProtection="1">
      <alignment horizontal="center" vertical="center"/>
    </xf>
    <xf numFmtId="0" fontId="35" fillId="0" borderId="110" xfId="0" applyFont="1" applyBorder="1" applyAlignment="1" applyProtection="1">
      <alignment horizontal="center" vertical="center"/>
    </xf>
    <xf numFmtId="9" fontId="35" fillId="27" borderId="10" xfId="108" applyFont="1" applyFill="1" applyBorder="1" applyAlignment="1" applyProtection="1">
      <alignment horizontal="left" vertical="center" wrapText="1"/>
      <protection locked="0"/>
    </xf>
    <xf numFmtId="0" fontId="35" fillId="20" borderId="0" xfId="0" applyFont="1" applyFill="1" applyAlignment="1" applyProtection="1">
      <alignment horizontal="center" vertical="center" wrapText="1"/>
    </xf>
    <xf numFmtId="43" fontId="62" fillId="31" borderId="0" xfId="49" applyFont="1" applyFill="1" applyAlignment="1" applyProtection="1">
      <alignment horizontal="center" vertical="center"/>
    </xf>
    <xf numFmtId="0" fontId="35" fillId="0" borderId="115" xfId="0" applyFont="1" applyBorder="1" applyAlignment="1" applyProtection="1">
      <alignment horizontal="left" vertical="center" wrapText="1"/>
    </xf>
    <xf numFmtId="43" fontId="104" fillId="0" borderId="0" xfId="0" applyNumberFormat="1" applyFont="1" applyAlignment="1" applyProtection="1">
      <alignment horizontal="center"/>
    </xf>
    <xf numFmtId="43" fontId="34" fillId="0" borderId="0" xfId="0" applyNumberFormat="1" applyFont="1" applyAlignment="1" applyProtection="1">
      <alignment horizontal="center"/>
    </xf>
    <xf numFmtId="43" fontId="16" fillId="30" borderId="0" xfId="60" applyFont="1" applyFill="1" applyBorder="1" applyAlignment="1" applyProtection="1">
      <alignment horizontal="center"/>
    </xf>
    <xf numFmtId="0" fontId="86" fillId="0" borderId="0" xfId="0" applyFont="1" applyAlignment="1">
      <alignment horizontal="left" wrapText="1"/>
    </xf>
    <xf numFmtId="8" fontId="31" fillId="27" borderId="29" xfId="0" applyNumberFormat="1" applyFont="1" applyFill="1" applyBorder="1" applyAlignment="1" applyProtection="1">
      <alignment horizontal="left" wrapText="1"/>
      <protection locked="0"/>
    </xf>
    <xf numFmtId="43" fontId="29" fillId="0" borderId="0" xfId="0" applyNumberFormat="1" applyFont="1" applyAlignment="1">
      <alignment horizontal="left"/>
    </xf>
    <xf numFmtId="43" fontId="15" fillId="0" borderId="0" xfId="0" applyNumberFormat="1" applyFont="1" applyAlignment="1">
      <alignment horizontal="center"/>
    </xf>
    <xf numFmtId="0" fontId="0" fillId="0" borderId="137" xfId="0" applyFill="1" applyBorder="1" applyAlignment="1" applyProtection="1">
      <alignment horizontal="center" vertical="center"/>
    </xf>
    <xf numFmtId="0" fontId="0" fillId="0" borderId="138" xfId="0" applyFill="1" applyBorder="1" applyAlignment="1" applyProtection="1">
      <alignment horizontal="center" vertical="center"/>
    </xf>
    <xf numFmtId="0" fontId="0" fillId="0" borderId="139" xfId="0" applyFill="1" applyBorder="1" applyAlignment="1" applyProtection="1">
      <alignment horizontal="center" vertical="center"/>
    </xf>
    <xf numFmtId="0" fontId="15" fillId="0" borderId="0" xfId="0" applyFont="1" applyBorder="1" applyAlignment="1">
      <alignment horizontal="center"/>
    </xf>
    <xf numFmtId="0" fontId="104" fillId="0" borderId="0" xfId="0" applyFont="1" applyAlignment="1">
      <alignment horizontal="center"/>
    </xf>
    <xf numFmtId="0" fontId="0" fillId="0" borderId="0" xfId="0" applyBorder="1" applyAlignment="1">
      <alignment horizontal="center"/>
    </xf>
    <xf numFmtId="43" fontId="62" fillId="31" borderId="0" xfId="49" applyFont="1" applyFill="1" applyAlignment="1">
      <alignment horizontal="center" vertical="center"/>
    </xf>
    <xf numFmtId="43" fontId="29" fillId="0" borderId="0" xfId="0" applyNumberFormat="1" applyFont="1" applyAlignment="1">
      <alignment horizontal="right"/>
    </xf>
    <xf numFmtId="15" fontId="29" fillId="0" borderId="0" xfId="0" applyNumberFormat="1" applyFont="1" applyAlignment="1">
      <alignment horizontal="right"/>
    </xf>
    <xf numFmtId="0" fontId="22" fillId="0" borderId="211" xfId="0" applyFont="1" applyBorder="1" applyAlignment="1" applyProtection="1">
      <alignment horizontal="left"/>
      <protection locked="0"/>
    </xf>
    <xf numFmtId="0" fontId="22" fillId="0" borderId="228" xfId="0" applyFont="1" applyBorder="1" applyAlignment="1" applyProtection="1">
      <alignment horizontal="left"/>
      <protection locked="0"/>
    </xf>
    <xf numFmtId="0" fontId="78" fillId="21" borderId="13" xfId="54" applyNumberFormat="1" applyFont="1" applyFill="1" applyBorder="1" applyAlignment="1">
      <alignment horizontal="center" vertical="center" wrapText="1"/>
    </xf>
    <xf numFmtId="0" fontId="78" fillId="21" borderId="230" xfId="54" applyNumberFormat="1" applyFont="1" applyFill="1" applyBorder="1" applyAlignment="1">
      <alignment horizontal="center" vertical="center" wrapText="1"/>
    </xf>
    <xf numFmtId="0" fontId="22" fillId="0" borderId="216" xfId="0" applyFont="1" applyBorder="1" applyAlignment="1" applyProtection="1">
      <alignment horizontal="left"/>
      <protection locked="0"/>
    </xf>
    <xf numFmtId="0" fontId="22" fillId="0" borderId="231" xfId="0" applyFont="1" applyBorder="1" applyAlignment="1" applyProtection="1">
      <alignment horizontal="left"/>
      <protection locked="0"/>
    </xf>
    <xf numFmtId="0" fontId="22" fillId="0" borderId="38" xfId="0" applyFont="1" applyBorder="1" applyAlignment="1" applyProtection="1">
      <alignment horizontal="left"/>
      <protection locked="0"/>
    </xf>
    <xf numFmtId="0" fontId="22" fillId="0" borderId="229" xfId="0" applyFont="1" applyBorder="1" applyAlignment="1" applyProtection="1">
      <alignment horizontal="left"/>
      <protection locked="0"/>
    </xf>
    <xf numFmtId="0" fontId="22" fillId="0" borderId="211" xfId="0" applyFont="1" applyFill="1" applyBorder="1" applyAlignment="1" applyProtection="1">
      <alignment horizontal="left"/>
      <protection locked="0"/>
    </xf>
    <xf numFmtId="0" fontId="22" fillId="0" borderId="228" xfId="0" applyFont="1" applyFill="1" applyBorder="1" applyAlignment="1" applyProtection="1">
      <alignment horizontal="left"/>
      <protection locked="0"/>
    </xf>
    <xf numFmtId="0" fontId="22" fillId="0" borderId="216" xfId="0" applyFont="1" applyFill="1" applyBorder="1" applyAlignment="1" applyProtection="1">
      <alignment horizontal="left"/>
      <protection locked="0"/>
    </xf>
    <xf numFmtId="0" fontId="22" fillId="0" borderId="231" xfId="0" applyFont="1" applyFill="1" applyBorder="1" applyAlignment="1" applyProtection="1">
      <alignment horizontal="left"/>
      <protection locked="0"/>
    </xf>
    <xf numFmtId="0" fontId="22" fillId="0" borderId="166" xfId="0" applyFont="1" applyFill="1" applyBorder="1" applyAlignment="1" applyProtection="1">
      <alignment horizontal="left" vertical="center" wrapText="1"/>
      <protection locked="0"/>
    </xf>
    <xf numFmtId="0" fontId="22" fillId="0" borderId="223" xfId="0" applyFont="1" applyFill="1" applyBorder="1" applyAlignment="1" applyProtection="1">
      <alignment horizontal="left" vertical="center" wrapText="1"/>
      <protection locked="0"/>
    </xf>
    <xf numFmtId="0" fontId="22" fillId="0" borderId="232" xfId="0" applyFont="1" applyFill="1" applyBorder="1" applyAlignment="1" applyProtection="1">
      <alignment horizontal="left" vertical="top" wrapText="1"/>
      <protection locked="0"/>
    </xf>
    <xf numFmtId="0" fontId="22" fillId="0" borderId="233" xfId="0" applyFont="1" applyFill="1" applyBorder="1" applyAlignment="1" applyProtection="1">
      <alignment horizontal="left" vertical="top" wrapText="1"/>
      <protection locked="0"/>
    </xf>
    <xf numFmtId="0" fontId="22" fillId="0" borderId="234" xfId="0" applyFont="1" applyFill="1" applyBorder="1" applyAlignment="1" applyProtection="1">
      <alignment horizontal="left" vertical="top" wrapText="1"/>
      <protection locked="0"/>
    </xf>
    <xf numFmtId="0" fontId="22" fillId="0" borderId="220" xfId="0" applyFont="1" applyFill="1" applyBorder="1" applyAlignment="1" applyProtection="1">
      <alignment horizontal="left" vertical="top" wrapText="1"/>
      <protection locked="0"/>
    </xf>
    <xf numFmtId="0" fontId="22" fillId="0" borderId="200" xfId="0" applyFont="1" applyFill="1" applyBorder="1" applyAlignment="1" applyProtection="1">
      <alignment horizontal="left" vertical="top" wrapText="1"/>
      <protection locked="0"/>
    </xf>
    <xf numFmtId="0" fontId="22" fillId="0" borderId="235" xfId="0" applyFont="1" applyFill="1" applyBorder="1" applyAlignment="1" applyProtection="1">
      <alignment horizontal="left" vertical="top" wrapText="1"/>
      <protection locked="0"/>
    </xf>
    <xf numFmtId="43" fontId="16" fillId="30" borderId="0" xfId="61" applyFont="1" applyFill="1" applyBorder="1" applyAlignment="1" applyProtection="1">
      <alignment horizontal="center"/>
      <protection locked="0"/>
    </xf>
    <xf numFmtId="0" fontId="22" fillId="0" borderId="38" xfId="0" applyFont="1" applyFill="1" applyBorder="1" applyAlignment="1" applyProtection="1">
      <alignment horizontal="left"/>
      <protection locked="0"/>
    </xf>
    <xf numFmtId="0" fontId="22" fillId="0" borderId="229" xfId="0" applyFont="1" applyFill="1" applyBorder="1" applyAlignment="1" applyProtection="1">
      <alignment horizontal="left"/>
      <protection locked="0"/>
    </xf>
    <xf numFmtId="0" fontId="0" fillId="27" borderId="114" xfId="0" applyFill="1" applyBorder="1" applyAlignment="1" applyProtection="1">
      <alignment horizontal="center"/>
      <protection locked="0"/>
    </xf>
    <xf numFmtId="0" fontId="0" fillId="27" borderId="115" xfId="0" applyFill="1" applyBorder="1" applyAlignment="1" applyProtection="1">
      <alignment horizontal="center"/>
      <protection locked="0"/>
    </xf>
    <xf numFmtId="0" fontId="0" fillId="27" borderId="116" xfId="0" applyFill="1" applyBorder="1" applyAlignment="1" applyProtection="1">
      <alignment horizontal="center"/>
      <protection locked="0"/>
    </xf>
    <xf numFmtId="0" fontId="0" fillId="27" borderId="66" xfId="0" applyFill="1" applyBorder="1" applyAlignment="1" applyProtection="1">
      <alignment horizontal="center"/>
      <protection locked="0"/>
    </xf>
    <xf numFmtId="0" fontId="0" fillId="27" borderId="104" xfId="0" applyFill="1" applyBorder="1" applyAlignment="1" applyProtection="1">
      <alignment horizontal="center"/>
      <protection locked="0"/>
    </xf>
    <xf numFmtId="0" fontId="0" fillId="27" borderId="106" xfId="0" applyFill="1" applyBorder="1" applyAlignment="1" applyProtection="1">
      <alignment horizontal="center"/>
      <protection locked="0"/>
    </xf>
    <xf numFmtId="0" fontId="78" fillId="21" borderId="212" xfId="54" applyNumberFormat="1" applyFont="1" applyFill="1" applyBorder="1" applyAlignment="1">
      <alignment horizontal="center" vertical="center" wrapText="1"/>
    </xf>
    <xf numFmtId="0" fontId="78" fillId="21" borderId="213" xfId="54" applyNumberFormat="1" applyFont="1" applyFill="1" applyBorder="1" applyAlignment="1">
      <alignment horizontal="center" vertical="center" wrapText="1"/>
    </xf>
    <xf numFmtId="0" fontId="78" fillId="21" borderId="214" xfId="54" applyNumberFormat="1" applyFont="1" applyFill="1" applyBorder="1" applyAlignment="1">
      <alignment horizontal="center" vertical="center" wrapText="1"/>
    </xf>
    <xf numFmtId="0" fontId="78" fillId="21" borderId="209" xfId="54" applyNumberFormat="1" applyFont="1" applyFill="1" applyBorder="1" applyAlignment="1">
      <alignment horizontal="center" vertical="center" wrapText="1"/>
    </xf>
    <xf numFmtId="0" fontId="22" fillId="0" borderId="210" xfId="0" applyFont="1" applyBorder="1" applyAlignment="1" applyProtection="1">
      <alignment horizontal="left"/>
      <protection locked="0"/>
    </xf>
    <xf numFmtId="0" fontId="22" fillId="0" borderId="215" xfId="0" applyFont="1" applyBorder="1" applyAlignment="1" applyProtection="1">
      <alignment horizontal="left"/>
      <protection locked="0"/>
    </xf>
    <xf numFmtId="0" fontId="22" fillId="0" borderId="222" xfId="0" applyFont="1" applyFill="1" applyBorder="1" applyAlignment="1" applyProtection="1">
      <alignment horizontal="left"/>
      <protection locked="0"/>
    </xf>
    <xf numFmtId="0" fontId="22" fillId="0" borderId="166" xfId="0" applyFont="1" applyFill="1" applyBorder="1" applyAlignment="1" applyProtection="1">
      <alignment horizontal="left"/>
      <protection locked="0"/>
    </xf>
    <xf numFmtId="0" fontId="22" fillId="0" borderId="223" xfId="0" applyFont="1" applyFill="1" applyBorder="1" applyAlignment="1" applyProtection="1">
      <alignment horizontal="left"/>
      <protection locked="0"/>
    </xf>
    <xf numFmtId="0" fontId="93" fillId="21" borderId="112" xfId="0" applyFont="1" applyFill="1" applyBorder="1" applyAlignment="1">
      <alignment horizontal="center" vertical="center" textRotation="90"/>
    </xf>
    <xf numFmtId="0" fontId="0" fillId="21" borderId="91" xfId="0" applyFill="1" applyBorder="1" applyAlignment="1">
      <alignment horizontal="center" vertical="center" textRotation="90"/>
    </xf>
    <xf numFmtId="0" fontId="0" fillId="21" borderId="107" xfId="0" applyFill="1" applyBorder="1" applyAlignment="1">
      <alignment horizontal="center" vertical="center" textRotation="90"/>
    </xf>
    <xf numFmtId="0" fontId="22" fillId="0" borderId="227" xfId="0" applyFont="1" applyFill="1" applyBorder="1" applyAlignment="1" applyProtection="1">
      <alignment horizontal="left"/>
      <protection locked="0"/>
    </xf>
    <xf numFmtId="0" fontId="22" fillId="0" borderId="210" xfId="0" applyFont="1" applyFill="1" applyBorder="1" applyAlignment="1" applyProtection="1">
      <alignment horizontal="left"/>
      <protection locked="0"/>
    </xf>
    <xf numFmtId="0" fontId="22" fillId="0" borderId="225" xfId="0" applyFont="1" applyFill="1" applyBorder="1" applyAlignment="1" applyProtection="1">
      <alignment horizontal="left" vertical="center" wrapText="1"/>
      <protection locked="0"/>
    </xf>
    <xf numFmtId="0" fontId="22" fillId="0" borderId="226" xfId="0" applyFont="1" applyFill="1" applyBorder="1" applyAlignment="1" applyProtection="1">
      <alignment horizontal="left" vertical="center" wrapText="1"/>
      <protection locked="0"/>
    </xf>
    <xf numFmtId="0" fontId="34" fillId="0" borderId="0" xfId="0" applyFont="1" applyAlignment="1">
      <alignment horizontal="center"/>
    </xf>
    <xf numFmtId="0" fontId="22" fillId="0" borderId="215" xfId="0" applyFont="1" applyFill="1" applyBorder="1" applyAlignment="1" applyProtection="1">
      <alignment horizontal="left"/>
      <protection locked="0"/>
    </xf>
    <xf numFmtId="0" fontId="22" fillId="0" borderId="217" xfId="0" applyFont="1" applyFill="1" applyBorder="1" applyAlignment="1" applyProtection="1">
      <alignment horizontal="left" vertical="top" wrapText="1"/>
      <protection locked="0"/>
    </xf>
    <xf numFmtId="0" fontId="22" fillId="0" borderId="218" xfId="0" applyFont="1" applyFill="1" applyBorder="1" applyAlignment="1" applyProtection="1">
      <alignment horizontal="left" vertical="top" wrapText="1"/>
      <protection locked="0"/>
    </xf>
    <xf numFmtId="0" fontId="22" fillId="0" borderId="219" xfId="0" applyFont="1" applyFill="1" applyBorder="1" applyAlignment="1" applyProtection="1">
      <alignment horizontal="left" vertical="top" wrapText="1"/>
      <protection locked="0"/>
    </xf>
    <xf numFmtId="0" fontId="22" fillId="0" borderId="221" xfId="0" applyFont="1" applyFill="1" applyBorder="1" applyAlignment="1" applyProtection="1">
      <alignment horizontal="left" vertical="top" wrapText="1"/>
      <protection locked="0"/>
    </xf>
    <xf numFmtId="0" fontId="22" fillId="0" borderId="224" xfId="0" applyFont="1" applyFill="1" applyBorder="1" applyAlignment="1" applyProtection="1">
      <alignment horizontal="left"/>
      <protection locked="0"/>
    </xf>
    <xf numFmtId="0" fontId="22" fillId="0" borderId="225" xfId="0" applyFont="1" applyFill="1" applyBorder="1" applyAlignment="1" applyProtection="1">
      <alignment horizontal="left"/>
      <protection locked="0"/>
    </xf>
    <xf numFmtId="0" fontId="22" fillId="0" borderId="226" xfId="0" applyFont="1" applyFill="1" applyBorder="1" applyAlignment="1" applyProtection="1">
      <alignment horizontal="left"/>
      <protection locked="0"/>
    </xf>
    <xf numFmtId="0" fontId="22" fillId="0" borderId="227" xfId="0" applyFont="1" applyBorder="1" applyAlignment="1" applyProtection="1">
      <alignment horizontal="left"/>
      <protection locked="0"/>
    </xf>
    <xf numFmtId="9" fontId="3" fillId="0" borderId="165" xfId="57" applyNumberFormat="1" applyFont="1" applyFill="1" applyBorder="1" applyAlignment="1" applyProtection="1">
      <alignment horizontal="left" vertical="center" wrapText="1"/>
    </xf>
    <xf numFmtId="0" fontId="3" fillId="0" borderId="166" xfId="57" applyNumberFormat="1" applyFont="1" applyFill="1" applyBorder="1" applyAlignment="1" applyProtection="1">
      <alignment horizontal="left" vertical="center" wrapText="1"/>
    </xf>
    <xf numFmtId="0" fontId="3" fillId="0" borderId="167" xfId="57" applyNumberFormat="1" applyFont="1" applyFill="1" applyBorder="1" applyAlignment="1" applyProtection="1">
      <alignment horizontal="left" vertical="center" wrapText="1"/>
    </xf>
    <xf numFmtId="0" fontId="61" fillId="27" borderId="189" xfId="0" applyFont="1" applyFill="1" applyBorder="1" applyAlignment="1" applyProtection="1">
      <alignment horizontal="center" vertical="center"/>
    </xf>
    <xf numFmtId="0" fontId="61" fillId="27" borderId="190" xfId="0" applyFont="1" applyFill="1" applyBorder="1" applyAlignment="1" applyProtection="1">
      <alignment horizontal="center" vertical="center"/>
    </xf>
    <xf numFmtId="0" fontId="61" fillId="27" borderId="191" xfId="0" applyFont="1" applyFill="1" applyBorder="1" applyAlignment="1" applyProtection="1">
      <alignment horizontal="center" vertical="center"/>
    </xf>
    <xf numFmtId="0" fontId="81" fillId="0" borderId="192" xfId="0" applyNumberFormat="1" applyFont="1" applyFill="1" applyBorder="1" applyAlignment="1" applyProtection="1">
      <alignment horizontal="left" vertical="center" wrapText="1"/>
    </xf>
    <xf numFmtId="0" fontId="81" fillId="0" borderId="193" xfId="0" applyNumberFormat="1" applyFont="1" applyFill="1" applyBorder="1" applyAlignment="1" applyProtection="1">
      <alignment horizontal="left" vertical="center" wrapText="1"/>
    </xf>
    <xf numFmtId="0" fontId="81" fillId="0" borderId="194" xfId="0" applyNumberFormat="1" applyFont="1" applyFill="1" applyBorder="1" applyAlignment="1" applyProtection="1">
      <alignment horizontal="left" vertical="center" wrapText="1"/>
    </xf>
    <xf numFmtId="0" fontId="3" fillId="36" borderId="156" xfId="0" applyFont="1" applyFill="1" applyBorder="1" applyAlignment="1" applyProtection="1">
      <alignment horizontal="center" vertical="top" wrapText="1"/>
      <protection locked="0"/>
    </xf>
    <xf numFmtId="0" fontId="3" fillId="36" borderId="157" xfId="0" applyFont="1" applyFill="1" applyBorder="1" applyAlignment="1" applyProtection="1">
      <alignment horizontal="center" vertical="top" wrapText="1"/>
      <protection locked="0"/>
    </xf>
    <xf numFmtId="0" fontId="3" fillId="36" borderId="158" xfId="0" applyFont="1" applyFill="1" applyBorder="1" applyAlignment="1" applyProtection="1">
      <alignment horizontal="center" vertical="top" wrapText="1"/>
      <protection locked="0"/>
    </xf>
    <xf numFmtId="0" fontId="3" fillId="36" borderId="195" xfId="0" applyFont="1" applyFill="1" applyBorder="1" applyAlignment="1" applyProtection="1">
      <alignment horizontal="center" vertical="top" wrapText="1"/>
      <protection locked="0"/>
    </xf>
    <xf numFmtId="0" fontId="3" fillId="36" borderId="196" xfId="0" applyFont="1" applyFill="1" applyBorder="1" applyAlignment="1" applyProtection="1">
      <alignment horizontal="center" vertical="top" wrapText="1"/>
      <protection locked="0"/>
    </xf>
    <xf numFmtId="0" fontId="3" fillId="36" borderId="197" xfId="0" applyFont="1" applyFill="1" applyBorder="1" applyAlignment="1" applyProtection="1">
      <alignment horizontal="center" vertical="top" wrapText="1"/>
      <protection locked="0"/>
    </xf>
    <xf numFmtId="0" fontId="80" fillId="19" borderId="12" xfId="0" applyFont="1" applyFill="1" applyBorder="1" applyAlignment="1" applyProtection="1">
      <alignment horizontal="center" vertical="center"/>
    </xf>
    <xf numFmtId="0" fontId="61" fillId="25" borderId="174" xfId="0" applyFont="1" applyFill="1" applyBorder="1" applyAlignment="1" applyProtection="1">
      <alignment horizontal="center" vertical="center"/>
    </xf>
    <xf numFmtId="0" fontId="61" fillId="25" borderId="175" xfId="0" applyFont="1" applyFill="1" applyBorder="1" applyAlignment="1" applyProtection="1">
      <alignment horizontal="center" vertical="center"/>
    </xf>
    <xf numFmtId="0" fontId="61" fillId="25" borderId="176" xfId="0" applyFont="1" applyFill="1" applyBorder="1" applyAlignment="1" applyProtection="1">
      <alignment horizontal="center" vertical="center"/>
    </xf>
    <xf numFmtId="0" fontId="3" fillId="37" borderId="184" xfId="0" applyFont="1" applyFill="1" applyBorder="1" applyAlignment="1" applyProtection="1">
      <alignment horizontal="center" vertical="top" wrapText="1"/>
      <protection locked="0"/>
    </xf>
    <xf numFmtId="0" fontId="3" fillId="37" borderId="185" xfId="0" applyFont="1" applyFill="1" applyBorder="1" applyAlignment="1" applyProtection="1">
      <alignment horizontal="center" vertical="top" wrapText="1"/>
      <protection locked="0"/>
    </xf>
    <xf numFmtId="0" fontId="3" fillId="37" borderId="186" xfId="0" applyFont="1" applyFill="1" applyBorder="1" applyAlignment="1" applyProtection="1">
      <alignment horizontal="center" vertical="top" wrapText="1"/>
      <protection locked="0"/>
    </xf>
    <xf numFmtId="0" fontId="104" fillId="0" borderId="0" xfId="0" applyFont="1" applyBorder="1" applyAlignment="1" applyProtection="1">
      <alignment horizontal="center"/>
    </xf>
    <xf numFmtId="0" fontId="81" fillId="0" borderId="187" xfId="0" applyNumberFormat="1" applyFont="1" applyFill="1" applyBorder="1" applyAlignment="1" applyProtection="1">
      <alignment horizontal="left" vertical="top" wrapText="1"/>
    </xf>
    <xf numFmtId="0" fontId="81" fillId="0" borderId="188" xfId="0" applyNumberFormat="1" applyFont="1" applyFill="1" applyBorder="1" applyAlignment="1" applyProtection="1">
      <alignment horizontal="left" vertical="top" wrapText="1"/>
    </xf>
    <xf numFmtId="0" fontId="81" fillId="0" borderId="182" xfId="0" applyNumberFormat="1" applyFont="1" applyFill="1" applyBorder="1" applyAlignment="1" applyProtection="1">
      <alignment horizontal="left" vertical="top" wrapText="1"/>
    </xf>
    <xf numFmtId="0" fontId="81" fillId="0" borderId="198" xfId="0" applyNumberFormat="1" applyFont="1" applyFill="1" applyBorder="1" applyAlignment="1" applyProtection="1">
      <alignment horizontal="left" vertical="top" wrapText="1"/>
    </xf>
    <xf numFmtId="49" fontId="3" fillId="38" borderId="170" xfId="0" applyNumberFormat="1" applyFont="1" applyFill="1" applyBorder="1" applyAlignment="1" applyProtection="1">
      <alignment horizontal="center" vertical="center"/>
      <protection locked="0"/>
    </xf>
    <xf numFmtId="49" fontId="3" fillId="38" borderId="166" xfId="0" applyNumberFormat="1" applyFont="1" applyFill="1" applyBorder="1" applyAlignment="1" applyProtection="1">
      <alignment horizontal="center" vertical="center"/>
      <protection locked="0"/>
    </xf>
    <xf numFmtId="49" fontId="3" fillId="38" borderId="171" xfId="0" applyNumberFormat="1" applyFont="1" applyFill="1" applyBorder="1" applyAlignment="1" applyProtection="1">
      <alignment horizontal="center" vertical="center"/>
      <protection locked="0"/>
    </xf>
    <xf numFmtId="49" fontId="3" fillId="38" borderId="199" xfId="0" applyNumberFormat="1" applyFont="1" applyFill="1" applyBorder="1" applyAlignment="1" applyProtection="1">
      <alignment horizontal="center" vertical="center"/>
      <protection locked="0"/>
    </xf>
    <xf numFmtId="49" fontId="3" fillId="38" borderId="200" xfId="0" applyNumberFormat="1" applyFont="1" applyFill="1" applyBorder="1" applyAlignment="1" applyProtection="1">
      <alignment horizontal="center" vertical="center"/>
      <protection locked="0"/>
    </xf>
    <xf numFmtId="49" fontId="3" fillId="38" borderId="201" xfId="0" applyNumberFormat="1" applyFont="1" applyFill="1" applyBorder="1" applyAlignment="1" applyProtection="1">
      <alignment horizontal="center" vertical="center"/>
      <protection locked="0"/>
    </xf>
    <xf numFmtId="0" fontId="79" fillId="0" borderId="168" xfId="0" applyFont="1" applyFill="1" applyBorder="1" applyAlignment="1" applyProtection="1">
      <alignment horizontal="center"/>
    </xf>
    <xf numFmtId="0" fontId="79" fillId="0" borderId="169" xfId="0" applyFont="1" applyFill="1" applyBorder="1" applyAlignment="1" applyProtection="1">
      <alignment horizontal="center"/>
    </xf>
    <xf numFmtId="49" fontId="3" fillId="38" borderId="172" xfId="0" applyNumberFormat="1" applyFont="1" applyFill="1" applyBorder="1" applyAlignment="1" applyProtection="1">
      <alignment horizontal="center" vertical="center"/>
      <protection locked="0"/>
    </xf>
    <xf numFmtId="49" fontId="3" fillId="38" borderId="14" xfId="0" applyNumberFormat="1" applyFont="1" applyFill="1" applyBorder="1" applyAlignment="1" applyProtection="1">
      <alignment horizontal="center" vertical="center"/>
      <protection locked="0"/>
    </xf>
    <xf numFmtId="49" fontId="3" fillId="38" borderId="173" xfId="0" applyNumberFormat="1" applyFont="1" applyFill="1" applyBorder="1" applyAlignment="1" applyProtection="1">
      <alignment horizontal="center" vertical="center"/>
      <protection locked="0"/>
    </xf>
    <xf numFmtId="0" fontId="79" fillId="0" borderId="0" xfId="0" applyFont="1" applyFill="1" applyBorder="1" applyAlignment="1" applyProtection="1">
      <alignment horizontal="center"/>
    </xf>
    <xf numFmtId="0" fontId="114" fillId="24" borderId="177" xfId="0" applyFont="1" applyFill="1" applyBorder="1" applyAlignment="1" applyProtection="1">
      <alignment horizontal="center" vertical="center"/>
    </xf>
    <xf numFmtId="0" fontId="114" fillId="24" borderId="178" xfId="0" applyFont="1" applyFill="1" applyBorder="1" applyAlignment="1" applyProtection="1">
      <alignment horizontal="center" vertical="center"/>
    </xf>
    <xf numFmtId="0" fontId="0" fillId="0" borderId="178" xfId="0" applyBorder="1" applyAlignment="1">
      <alignment horizontal="center" vertical="center"/>
    </xf>
    <xf numFmtId="0" fontId="114" fillId="24" borderId="179" xfId="0" applyFont="1" applyFill="1" applyBorder="1" applyAlignment="1" applyProtection="1">
      <alignment horizontal="center" vertical="center"/>
    </xf>
    <xf numFmtId="0" fontId="114" fillId="24" borderId="180" xfId="0" applyFont="1" applyFill="1" applyBorder="1" applyAlignment="1" applyProtection="1">
      <alignment horizontal="center" vertical="center"/>
    </xf>
    <xf numFmtId="0" fontId="114" fillId="24" borderId="181" xfId="0" applyFont="1" applyFill="1" applyBorder="1" applyAlignment="1" applyProtection="1">
      <alignment horizontal="center" vertical="center"/>
    </xf>
    <xf numFmtId="0" fontId="81" fillId="0" borderId="202" xfId="0" applyNumberFormat="1" applyFont="1" applyFill="1" applyBorder="1" applyAlignment="1" applyProtection="1">
      <alignment horizontal="left" vertical="top" wrapText="1"/>
    </xf>
    <xf numFmtId="0" fontId="81" fillId="0" borderId="203" xfId="0" applyNumberFormat="1" applyFont="1" applyFill="1" applyBorder="1" applyAlignment="1" applyProtection="1">
      <alignment horizontal="left" vertical="top" wrapText="1"/>
    </xf>
    <xf numFmtId="0" fontId="3" fillId="37" borderId="162" xfId="0" applyFont="1" applyFill="1" applyBorder="1" applyAlignment="1" applyProtection="1">
      <alignment horizontal="center" vertical="top" wrapText="1"/>
      <protection locked="0"/>
    </xf>
    <xf numFmtId="0" fontId="3" fillId="37" borderId="163" xfId="0" applyFont="1" applyFill="1" applyBorder="1" applyAlignment="1" applyProtection="1">
      <alignment horizontal="center" vertical="top" wrapText="1"/>
      <protection locked="0"/>
    </xf>
    <xf numFmtId="0" fontId="3" fillId="37" borderId="164" xfId="0" applyFont="1" applyFill="1" applyBorder="1" applyAlignment="1" applyProtection="1">
      <alignment horizontal="center" vertical="top" wrapText="1"/>
      <protection locked="0"/>
    </xf>
    <xf numFmtId="0" fontId="3" fillId="0" borderId="165" xfId="57" applyNumberFormat="1" applyFont="1" applyFill="1" applyBorder="1" applyAlignment="1" applyProtection="1">
      <alignment horizontal="left" vertical="center" wrapText="1"/>
    </xf>
    <xf numFmtId="0" fontId="81" fillId="0" borderId="183" xfId="0" applyNumberFormat="1" applyFont="1" applyFill="1" applyBorder="1" applyAlignment="1" applyProtection="1">
      <alignment horizontal="left" vertical="top" wrapText="1"/>
    </xf>
    <xf numFmtId="0" fontId="81" fillId="0" borderId="204" xfId="0" applyNumberFormat="1" applyFont="1" applyFill="1" applyBorder="1" applyAlignment="1" applyProtection="1">
      <alignment horizontal="left" vertical="top" wrapText="1"/>
    </xf>
    <xf numFmtId="0" fontId="81" fillId="0" borderId="205" xfId="0" applyNumberFormat="1" applyFont="1" applyFill="1" applyBorder="1" applyAlignment="1" applyProtection="1">
      <alignment horizontal="left" vertical="top" wrapText="1"/>
    </xf>
    <xf numFmtId="0" fontId="3" fillId="36" borderId="206" xfId="0" applyFont="1" applyFill="1" applyBorder="1" applyAlignment="1" applyProtection="1">
      <alignment horizontal="center" vertical="top" wrapText="1"/>
      <protection locked="0"/>
    </xf>
    <xf numFmtId="0" fontId="3" fillId="36" borderId="207" xfId="0" applyFont="1" applyFill="1" applyBorder="1" applyAlignment="1" applyProtection="1">
      <alignment horizontal="center" vertical="top" wrapText="1"/>
      <protection locked="0"/>
    </xf>
    <xf numFmtId="0" fontId="3" fillId="36" borderId="208" xfId="0" applyFont="1" applyFill="1" applyBorder="1" applyAlignment="1" applyProtection="1">
      <alignment horizontal="center" vertical="top" wrapText="1"/>
      <protection locked="0"/>
    </xf>
    <xf numFmtId="0" fontId="3" fillId="37" borderId="159" xfId="0" applyFont="1" applyFill="1" applyBorder="1" applyAlignment="1" applyProtection="1">
      <alignment horizontal="center" vertical="top" wrapText="1"/>
      <protection locked="0"/>
    </xf>
    <xf numFmtId="0" fontId="3" fillId="37" borderId="160" xfId="0" applyFont="1" applyFill="1" applyBorder="1" applyAlignment="1" applyProtection="1">
      <alignment horizontal="center" vertical="top" wrapText="1"/>
      <protection locked="0"/>
    </xf>
    <xf numFmtId="0" fontId="3" fillId="37" borderId="161" xfId="0" applyFont="1" applyFill="1" applyBorder="1" applyAlignment="1" applyProtection="1">
      <alignment horizontal="center" vertical="top" wrapText="1"/>
      <protection locked="0"/>
    </xf>
    <xf numFmtId="43" fontId="18" fillId="31" borderId="0" xfId="40" applyFont="1" applyFill="1" applyAlignment="1">
      <alignment horizontal="center" vertical="center"/>
    </xf>
    <xf numFmtId="9" fontId="0" fillId="0" borderId="0" xfId="57" applyFont="1" applyFill="1" applyProtection="1"/>
    <xf numFmtId="9" fontId="97" fillId="0" borderId="0" xfId="57" applyFont="1" applyFill="1" applyBorder="1" applyAlignment="1" applyProtection="1">
      <alignment horizontal="center"/>
    </xf>
  </cellXfs>
  <cellStyles count="128">
    <cellStyle name="20% - Accent1" xfId="1"/>
    <cellStyle name="20% - Accent1 2" xfId="69"/>
    <cellStyle name="20% - Accent2" xfId="2"/>
    <cellStyle name="20% - Accent2 2" xfId="70"/>
    <cellStyle name="20% - Accent3" xfId="3"/>
    <cellStyle name="20% - Accent3 2" xfId="71"/>
    <cellStyle name="20% - Accent4" xfId="4"/>
    <cellStyle name="20% - Accent4 2" xfId="72"/>
    <cellStyle name="20% - Accent5" xfId="5"/>
    <cellStyle name="20% - Accent5 2" xfId="73"/>
    <cellStyle name="20% - Accent6" xfId="6"/>
    <cellStyle name="20% - Accent6 2" xfId="74"/>
    <cellStyle name="40% - Accent1" xfId="7"/>
    <cellStyle name="40% - Accent1 2" xfId="75"/>
    <cellStyle name="40% - Accent2" xfId="8"/>
    <cellStyle name="40% - Accent2 2" xfId="76"/>
    <cellStyle name="40% - Accent3" xfId="9"/>
    <cellStyle name="40% - Accent3 2" xfId="77"/>
    <cellStyle name="40% - Accent4" xfId="10"/>
    <cellStyle name="40% - Accent4 2" xfId="78"/>
    <cellStyle name="40% - Accent5" xfId="11"/>
    <cellStyle name="40% - Accent5 2" xfId="79"/>
    <cellStyle name="40% - Accent6" xfId="12"/>
    <cellStyle name="40% - Accent6 2" xfId="80"/>
    <cellStyle name="60% - Accent1" xfId="13"/>
    <cellStyle name="60% - Accent1 2" xfId="81"/>
    <cellStyle name="60% - Accent2" xfId="14"/>
    <cellStyle name="60% - Accent2 2" xfId="82"/>
    <cellStyle name="60% - Accent3" xfId="15"/>
    <cellStyle name="60% - Accent3 2" xfId="83"/>
    <cellStyle name="60% - Accent4" xfId="16"/>
    <cellStyle name="60% - Accent4 2" xfId="84"/>
    <cellStyle name="60% - Accent5" xfId="17"/>
    <cellStyle name="60% - Accent5 2" xfId="85"/>
    <cellStyle name="60% - Accent6" xfId="18"/>
    <cellStyle name="60% - Accent6 2" xfId="86"/>
    <cellStyle name="Accent1" xfId="19"/>
    <cellStyle name="Accent1 2" xfId="87"/>
    <cellStyle name="Accent2" xfId="20"/>
    <cellStyle name="Accent2 2" xfId="88"/>
    <cellStyle name="Accent3" xfId="21"/>
    <cellStyle name="Accent3 2" xfId="89"/>
    <cellStyle name="Accent4" xfId="22"/>
    <cellStyle name="Accent4 2" xfId="90"/>
    <cellStyle name="Accent5" xfId="23"/>
    <cellStyle name="Accent5 2" xfId="91"/>
    <cellStyle name="Accent6" xfId="24"/>
    <cellStyle name="Accent6 2" xfId="92"/>
    <cellStyle name="Bad" xfId="25"/>
    <cellStyle name="Bad 2" xfId="93"/>
    <cellStyle name="Calculation" xfId="26"/>
    <cellStyle name="Calculation 2" xfId="94"/>
    <cellStyle name="Check Cell" xfId="27"/>
    <cellStyle name="Check Cell 2" xfId="95"/>
    <cellStyle name="Comma" xfId="28" builtinId="3"/>
    <cellStyle name="Comma 2" xfId="96"/>
    <cellStyle name="Comma 2 2" xfId="111"/>
    <cellStyle name="Comma 3" xfId="68"/>
    <cellStyle name="Comma 3 2" xfId="113"/>
    <cellStyle name="Comma 3 3" xfId="112"/>
    <cellStyle name="Comma 4" xfId="114"/>
    <cellStyle name="Comma 5" xfId="115"/>
    <cellStyle name="Comma 5 2" xfId="127"/>
    <cellStyle name="Comma 6" xfId="116"/>
    <cellStyle name="Comma 7" xfId="126"/>
    <cellStyle name="Comma 8" xfId="117"/>
    <cellStyle name="Currency" xfId="29" builtinId="4"/>
    <cellStyle name="Currency 2" xfId="97"/>
    <cellStyle name="Euro" xfId="30"/>
    <cellStyle name="Explanatory Text" xfId="31"/>
    <cellStyle name="Explanatory Text 2" xfId="98"/>
    <cellStyle name="Followed Hyperlink" xfId="65" builtinId="9" hidden="1"/>
    <cellStyle name="Followed Hyperlink" xfId="67" builtinId="9" hidden="1"/>
    <cellStyle name="Good" xfId="32"/>
    <cellStyle name="Good 2" xfId="99"/>
    <cellStyle name="Heading 1" xfId="33"/>
    <cellStyle name="Heading 1 2" xfId="100"/>
    <cellStyle name="Heading 2" xfId="34"/>
    <cellStyle name="Heading 2 2" xfId="101"/>
    <cellStyle name="Heading 3" xfId="35"/>
    <cellStyle name="Heading 3 2" xfId="102"/>
    <cellStyle name="Heading 4" xfId="36"/>
    <cellStyle name="Heading 4 2" xfId="103"/>
    <cellStyle name="Hyperlink" xfId="64" builtinId="8" hidden="1"/>
    <cellStyle name="Hyperlink" xfId="66" builtinId="8" hidden="1"/>
    <cellStyle name="Hyperlink 2" xfId="125"/>
    <cellStyle name="Input" xfId="37"/>
    <cellStyle name="Input 2" xfId="104"/>
    <cellStyle name="Linked Cell" xfId="38"/>
    <cellStyle name="Linked Cell 2" xfId="105"/>
    <cellStyle name="Millares 2" xfId="39"/>
    <cellStyle name="Normal" xfId="0" builtinId="0"/>
    <cellStyle name="Normal 2" xfId="40"/>
    <cellStyle name="Normal 2 2" xfId="41"/>
    <cellStyle name="Normal 2 3" xfId="42"/>
    <cellStyle name="Normal 2 4" xfId="43"/>
    <cellStyle name="Normal 2 5" xfId="44"/>
    <cellStyle name="Normal 2 6" xfId="45"/>
    <cellStyle name="Normal 2 7" xfId="46"/>
    <cellStyle name="Normal 2 8" xfId="47"/>
    <cellStyle name="Normal 2_Dashboard ver 2.2 ES" xfId="48"/>
    <cellStyle name="Normal 2_Prototipo" xfId="49"/>
    <cellStyle name="Normal 3" xfId="50"/>
    <cellStyle name="Normal 3 2" xfId="118"/>
    <cellStyle name="Normal 4" xfId="51"/>
    <cellStyle name="Normal 4 2" xfId="120"/>
    <cellStyle name="Normal 4 3" xfId="119"/>
    <cellStyle name="Normal 5" xfId="52"/>
    <cellStyle name="Normal 5 2" xfId="121"/>
    <cellStyle name="Normal 6" xfId="53"/>
    <cellStyle name="Normal 6 2" xfId="122"/>
    <cellStyle name="Normal_TZ_R3HIV_Phase_2_21_August_08" xfId="54"/>
    <cellStyle name="Note" xfId="55"/>
    <cellStyle name="Note 2" xfId="106"/>
    <cellStyle name="Output" xfId="56"/>
    <cellStyle name="Output 2" xfId="107"/>
    <cellStyle name="Percent" xfId="57" builtinId="5"/>
    <cellStyle name="Percent 2" xfId="108"/>
    <cellStyle name="Percent 2 2" xfId="123"/>
    <cellStyle name="Percent 3" xfId="124"/>
    <cellStyle name="Title" xfId="58"/>
    <cellStyle name="Title 2" xfId="109"/>
    <cellStyle name="Título 3 3" xfId="59"/>
    <cellStyle name="Título 3 3_Prototipo" xfId="60"/>
    <cellStyle name="Título 3 3_PrototipoRep1" xfId="61"/>
    <cellStyle name="Título 3 7" xfId="62"/>
    <cellStyle name="Warning Text" xfId="63"/>
    <cellStyle name="Warning Text 2" xfId="110"/>
  </cellStyles>
  <dxfs count="53">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9"/>
      </font>
      <fill>
        <patternFill>
          <bgColor indexed="10"/>
        </patternFill>
      </fill>
    </dxf>
    <dxf>
      <fill>
        <patternFill>
          <bgColor indexed="13"/>
        </patternFill>
      </fill>
    </dxf>
    <dxf>
      <fill>
        <patternFill>
          <bgColor indexed="11"/>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patternType="solid">
          <bgColor indexed="9"/>
        </patternFill>
      </fill>
    </dxf>
    <dxf>
      <font>
        <condense val="0"/>
        <extend val="0"/>
        <color auto="1"/>
      </font>
      <fill>
        <patternFill>
          <bgColor indexed="50"/>
        </patternFill>
      </fill>
    </dxf>
    <dxf>
      <font>
        <condense val="0"/>
        <extend val="0"/>
        <color indexed="8"/>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bgColor indexed="42"/>
        </patternFill>
      </fill>
    </dxf>
    <dxf>
      <fill>
        <patternFill>
          <bgColor indexed="14"/>
        </patternFill>
      </fill>
    </dxf>
    <dxf>
      <font>
        <condense val="0"/>
        <extend val="0"/>
        <color auto="1"/>
      </font>
      <fill>
        <patternFill>
          <bgColor indexed="11"/>
        </patternFill>
      </fill>
    </dxf>
    <dxf>
      <fill>
        <patternFill>
          <bgColor indexed="11"/>
        </patternFill>
      </fill>
    </dxf>
    <dxf>
      <font>
        <condense val="0"/>
        <extend val="0"/>
        <color indexed="9"/>
      </font>
      <fill>
        <patternFill>
          <bgColor indexed="8"/>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4"/>
        </patternFill>
      </fill>
    </dxf>
    <dxf>
      <font>
        <condense val="0"/>
        <extend val="0"/>
        <color indexed="9"/>
      </font>
      <fill>
        <patternFill>
          <bgColor indexed="63"/>
        </patternFill>
      </fill>
    </dxf>
    <dxf>
      <fill>
        <patternFill>
          <bgColor indexed="42"/>
        </patternFill>
      </fill>
    </dxf>
    <dxf>
      <fill>
        <patternFill>
          <bgColor indexed="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7171"/>
      <rgbColor rgb="0000FF00"/>
      <rgbColor rgb="000000FF"/>
      <rgbColor rgb="00FFFF00"/>
      <rgbColor rgb="00FF505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086500655307999"/>
          <c:y val="5.2401746724890799E-2"/>
          <c:w val="0.80996068152031397"/>
          <c:h val="0.64192139737991505"/>
        </c:manualLayout>
      </c:layout>
      <c:barChart>
        <c:barDir val="col"/>
        <c:grouping val="clustered"/>
        <c:varyColors val="0"/>
        <c:ser>
          <c:idx val="0"/>
          <c:order val="0"/>
          <c:tx>
            <c:strRef>
              <c:f>'Data Entry'!$B$33</c:f>
              <c:strCache>
                <c:ptCount val="1"/>
                <c:pt idx="0">
                  <c:v>Cumulative budget</c:v>
                </c:pt>
              </c:strCache>
            </c:strRef>
          </c:tx>
          <c:spPr>
            <a:solidFill>
              <a:srgbClr val="993366"/>
            </a:solidFill>
            <a:ln w="3175">
              <a:solidFill>
                <a:srgbClr val="000000"/>
              </a:solidFill>
              <a:prstDash val="solid"/>
            </a:ln>
            <a:effectLst>
              <a:outerShdw blurRad="63500" dist="38100" dir="2700000" algn="br">
                <a:srgbClr val="000000"/>
              </a:outerShdw>
            </a:effectLst>
          </c:spPr>
          <c:invertIfNegative val="0"/>
          <c:val>
            <c:numRef>
              <c:f>'Data Entry'!$C$33:$N$33</c:f>
              <c:numCache>
                <c:formatCode>#,##0</c:formatCode>
                <c:ptCount val="12"/>
                <c:pt idx="0">
                  <c:v>3728250.7482587667</c:v>
                </c:pt>
                <c:pt idx="1">
                  <c:v>5632849.5931904744</c:v>
                </c:pt>
                <c:pt idx="2">
                  <c:v>6198088.9585923366</c:v>
                </c:pt>
                <c:pt idx="3">
                  <c:v>6719929.391970559</c:v>
                </c:pt>
                <c:pt idx="4">
                  <c:v>0</c:v>
                </c:pt>
                <c:pt idx="5">
                  <c:v>0</c:v>
                </c:pt>
                <c:pt idx="6">
                  <c:v>0</c:v>
                </c:pt>
                <c:pt idx="7">
                  <c:v>0</c:v>
                </c:pt>
                <c:pt idx="8">
                  <c:v>0</c:v>
                </c:pt>
                <c:pt idx="9">
                  <c:v>0</c:v>
                </c:pt>
                <c:pt idx="10">
                  <c:v>0</c:v>
                </c:pt>
                <c:pt idx="11">
                  <c:v>0</c:v>
                </c:pt>
              </c:numCache>
            </c:numRef>
          </c:val>
        </c:ser>
        <c:ser>
          <c:idx val="1"/>
          <c:order val="1"/>
          <c:tx>
            <c:strRef>
              <c:f>'Data Entry'!$B$34</c:f>
              <c:strCache>
                <c:ptCount val="1"/>
                <c:pt idx="0">
                  <c:v>Cumulative disbursements</c:v>
                </c:pt>
              </c:strCache>
            </c:strRef>
          </c:tx>
          <c:spPr>
            <a:solidFill>
              <a:srgbClr val="99CCFF"/>
            </a:solidFill>
            <a:ln w="3175">
              <a:solidFill>
                <a:srgbClr val="000000"/>
              </a:solidFill>
              <a:prstDash val="solid"/>
            </a:ln>
          </c:spPr>
          <c:invertIfNegative val="0"/>
          <c:val>
            <c:numRef>
              <c:f>'Data Entry'!$C$34:$N$34</c:f>
              <c:numCache>
                <c:formatCode>#,##0</c:formatCode>
                <c:ptCount val="12"/>
                <c:pt idx="0">
                  <c:v>4454139</c:v>
                </c:pt>
                <c:pt idx="1">
                  <c:v>11174068</c:v>
                </c:pt>
                <c:pt idx="2">
                  <c:v>11174068</c:v>
                </c:pt>
                <c:pt idx="3">
                  <c:v>11174068</c:v>
                </c:pt>
                <c:pt idx="4">
                  <c:v>0</c:v>
                </c:pt>
                <c:pt idx="5">
                  <c:v>0</c:v>
                </c:pt>
                <c:pt idx="6">
                  <c:v>0</c:v>
                </c:pt>
                <c:pt idx="7">
                  <c:v>0</c:v>
                </c:pt>
                <c:pt idx="8">
                  <c:v>0</c:v>
                </c:pt>
                <c:pt idx="9">
                  <c:v>0</c:v>
                </c:pt>
                <c:pt idx="10">
                  <c:v>0</c:v>
                </c:pt>
                <c:pt idx="11">
                  <c:v>0</c:v>
                </c:pt>
              </c:numCache>
            </c:numRef>
          </c:val>
        </c:ser>
        <c:dLbls>
          <c:showLegendKey val="0"/>
          <c:showVal val="0"/>
          <c:showCatName val="0"/>
          <c:showSerName val="0"/>
          <c:showPercent val="0"/>
          <c:showBubbleSize val="0"/>
        </c:dLbls>
        <c:gapWidth val="70"/>
        <c:axId val="-765943712"/>
        <c:axId val="-959490400"/>
      </c:barChart>
      <c:catAx>
        <c:axId val="-765943712"/>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n-US"/>
                  <a:t>Reporting Period</a:t>
                </a:r>
              </a:p>
            </c:rich>
          </c:tx>
          <c:layout>
            <c:manualLayout>
              <c:xMode val="edge"/>
              <c:yMode val="edge"/>
              <c:x val="0.48066290143051499"/>
              <c:y val="0.7869564121078770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en-US"/>
          </a:p>
        </c:txPr>
        <c:crossAx val="-959490400"/>
        <c:crosses val="autoZero"/>
        <c:auto val="1"/>
        <c:lblAlgn val="ctr"/>
        <c:lblOffset val="100"/>
        <c:tickLblSkip val="1"/>
        <c:tickMarkSkip val="1"/>
        <c:noMultiLvlLbl val="0"/>
      </c:catAx>
      <c:valAx>
        <c:axId val="-959490400"/>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en-US"/>
          </a:p>
        </c:txPr>
        <c:crossAx val="-765943712"/>
        <c:crosses val="autoZero"/>
        <c:crossBetween val="between"/>
      </c:valAx>
      <c:spPr>
        <a:solidFill>
          <a:srgbClr val="FFFFFF"/>
        </a:solidFill>
        <a:ln w="3175">
          <a:solidFill>
            <a:srgbClr val="000000"/>
          </a:solidFill>
          <a:prstDash val="solid"/>
        </a:ln>
      </c:spPr>
    </c:plotArea>
    <c:legend>
      <c:legendPos val="r"/>
      <c:layout>
        <c:manualLayout>
          <c:xMode val="edge"/>
          <c:yMode val="edge"/>
          <c:x val="0.144167869068722"/>
          <c:y val="0.88209606986899602"/>
          <c:w val="0.84665787195448905"/>
          <c:h val="0.10480349344978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21472435519786001"/>
          <c:y val="0.121547289222444"/>
          <c:w val="0.60327318841303301"/>
          <c:h val="0.55248767828383605"/>
        </c:manualLayout>
      </c:layout>
      <c:barChart>
        <c:barDir val="bar"/>
        <c:grouping val="percentStacked"/>
        <c:varyColors val="0"/>
        <c:ser>
          <c:idx val="1"/>
          <c:order val="0"/>
          <c:tx>
            <c:strRef>
              <c:f>'Data Entry'!$D$92</c:f>
              <c:strCache>
                <c:ptCount val="1"/>
                <c:pt idx="0">
                  <c:v># Received</c:v>
                </c:pt>
              </c:strCache>
            </c:strRef>
          </c:tx>
          <c:spPr>
            <a:solidFill>
              <a:srgbClr val="99CC00"/>
            </a:solidFill>
            <a:ln w="25400">
              <a:noFill/>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 Entry'!$B$93:$B$94</c:f>
              <c:strCache>
                <c:ptCount val="2"/>
                <c:pt idx="0">
                  <c:v>SSR to SR</c:v>
                </c:pt>
                <c:pt idx="1">
                  <c:v>SRs to PR</c:v>
                </c:pt>
              </c:strCache>
            </c:strRef>
          </c:cat>
          <c:val>
            <c:numRef>
              <c:f>'Data Entry'!$D$93:$D$94</c:f>
              <c:numCache>
                <c:formatCode>0</c:formatCode>
                <c:ptCount val="2"/>
                <c:pt idx="0">
                  <c:v>0</c:v>
                </c:pt>
                <c:pt idx="1">
                  <c:v>0</c:v>
                </c:pt>
              </c:numCache>
            </c:numRef>
          </c:val>
        </c:ser>
        <c:ser>
          <c:idx val="2"/>
          <c:order val="1"/>
          <c:tx>
            <c:strRef>
              <c:f>'Data Entry'!$E$92</c:f>
              <c:strCache>
                <c:ptCount val="1"/>
                <c:pt idx="0">
                  <c:v>Pending</c:v>
                </c:pt>
              </c:strCache>
            </c:strRef>
          </c:tx>
          <c:spPr>
            <a:solidFill>
              <a:srgbClr val="FF5050"/>
            </a:solidFill>
            <a:ln w="25400">
              <a:noFill/>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 Entry'!$B$93:$B$94</c:f>
              <c:strCache>
                <c:ptCount val="2"/>
                <c:pt idx="0">
                  <c:v>SSR to SR</c:v>
                </c:pt>
                <c:pt idx="1">
                  <c:v>SRs to PR</c:v>
                </c:pt>
              </c:strCache>
            </c:strRef>
          </c:cat>
          <c:val>
            <c:numRef>
              <c:f>'Data Entry'!$E$93:$E$94</c:f>
              <c:numCache>
                <c:formatCode>0</c:formatCode>
                <c:ptCount val="2"/>
                <c:pt idx="0">
                  <c:v>0</c:v>
                </c:pt>
                <c:pt idx="1">
                  <c:v>0</c:v>
                </c:pt>
              </c:numCache>
            </c:numRef>
          </c:val>
        </c:ser>
        <c:dLbls>
          <c:showLegendKey val="0"/>
          <c:showVal val="0"/>
          <c:showCatName val="0"/>
          <c:showSerName val="0"/>
          <c:showPercent val="0"/>
          <c:showBubbleSize val="0"/>
        </c:dLbls>
        <c:gapWidth val="101"/>
        <c:overlap val="100"/>
        <c:axId val="-701823072"/>
        <c:axId val="-701821984"/>
      </c:barChart>
      <c:catAx>
        <c:axId val="-70182307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701821984"/>
        <c:crosses val="autoZero"/>
        <c:auto val="1"/>
        <c:lblAlgn val="ctr"/>
        <c:lblOffset val="100"/>
        <c:noMultiLvlLbl val="0"/>
      </c:catAx>
      <c:valAx>
        <c:axId val="-701821984"/>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701823072"/>
        <c:crosses val="max"/>
        <c:crossBetween val="between"/>
      </c:valAx>
    </c:plotArea>
    <c:legend>
      <c:legendPos val="r"/>
      <c:layout>
        <c:manualLayout>
          <c:xMode val="edge"/>
          <c:yMode val="edge"/>
          <c:x val="0.31839426523297698"/>
          <c:y val="0.80991776027996298"/>
          <c:w val="0.35496650015522302"/>
          <c:h val="0.13223097112860899"/>
        </c:manualLayout>
      </c:layout>
      <c:overlay val="0"/>
      <c:spPr>
        <a:noFill/>
        <a:ln w="25400">
          <a:noFill/>
        </a:ln>
      </c:spPr>
      <c:txPr>
        <a:bodyPr/>
        <a:lstStyle/>
        <a:p>
          <a:pPr>
            <a:defRPr sz="755" b="0" i="0" u="none" strike="noStrike" baseline="0">
              <a:solidFill>
                <a:srgbClr val="000000"/>
              </a:solidFill>
              <a:latin typeface="Calibri"/>
              <a:ea typeface="Calibri"/>
              <a:cs typeface="Calibri"/>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0000000000001" r="0.750000000000001" t="1" header="0.5" footer="0.5"/>
    <c:pageSetup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71679861629101"/>
          <c:y val="0.10989010989011"/>
          <c:w val="0.81094724363350601"/>
          <c:h val="0.54395604395604402"/>
        </c:manualLayout>
      </c:layout>
      <c:lineChart>
        <c:grouping val="standard"/>
        <c:varyColors val="0"/>
        <c:ser>
          <c:idx val="0"/>
          <c:order val="0"/>
          <c:tx>
            <c:strRef>
              <c:f>'Data Entry'!$B$102</c:f>
              <c:strCache>
                <c:ptCount val="1"/>
                <c:pt idx="0">
                  <c:v>Cumulative Budget Approved*</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val>
            <c:numRef>
              <c:f>'Data Entry'!$C$102:$N$102</c:f>
              <c:numCache>
                <c:formatCode>#,##0</c:formatCode>
                <c:ptCount val="12"/>
                <c:pt idx="0">
                  <c:v>56761.768333333333</c:v>
                </c:pt>
                <c:pt idx="1">
                  <c:v>76336.143333333341</c:v>
                </c:pt>
                <c:pt idx="2">
                  <c:v>113704.21500000001</c:v>
                </c:pt>
                <c:pt idx="3">
                  <c:v>133278.59000000003</c:v>
                </c:pt>
                <c:pt idx="4">
                  <c:v>133278.59000000003</c:v>
                </c:pt>
                <c:pt idx="5">
                  <c:v>133278.59000000003</c:v>
                </c:pt>
                <c:pt idx="6">
                  <c:v>133278.59000000003</c:v>
                </c:pt>
                <c:pt idx="7">
                  <c:v>133278.59000000003</c:v>
                </c:pt>
                <c:pt idx="8">
                  <c:v>133278.59000000003</c:v>
                </c:pt>
                <c:pt idx="9">
                  <c:v>133278.59000000003</c:v>
                </c:pt>
                <c:pt idx="10">
                  <c:v>133278.59000000003</c:v>
                </c:pt>
                <c:pt idx="11">
                  <c:v>133278.59000000003</c:v>
                </c:pt>
              </c:numCache>
            </c:numRef>
          </c:val>
          <c:smooth val="0"/>
        </c:ser>
        <c:ser>
          <c:idx val="1"/>
          <c:order val="1"/>
          <c:tx>
            <c:strRef>
              <c:f>'Data Entry'!$B$103</c:f>
              <c:strCache>
                <c:ptCount val="1"/>
                <c:pt idx="0">
                  <c:v>Obligations </c:v>
                </c:pt>
              </c:strCache>
            </c:strRef>
          </c:tx>
          <c:spPr>
            <a:ln w="12700">
              <a:solidFill>
                <a:srgbClr val="3366FF"/>
              </a:solidFill>
              <a:prstDash val="solid"/>
            </a:ln>
          </c:spPr>
          <c:marker>
            <c:symbol val="square"/>
            <c:size val="5"/>
            <c:spPr>
              <a:solidFill>
                <a:srgbClr val="99CCFF"/>
              </a:solidFill>
              <a:ln>
                <a:solidFill>
                  <a:srgbClr val="000080"/>
                </a:solidFill>
                <a:prstDash val="solid"/>
              </a:ln>
            </c:spPr>
          </c:marker>
          <c:val>
            <c:numRef>
              <c:f>'Data Entry'!$C$103:$N$103</c:f>
              <c:numCache>
                <c:formatCode>#,##0</c:formatCode>
                <c:ptCount val="12"/>
                <c:pt idx="0">
                  <c:v>5088011.34</c:v>
                </c:pt>
                <c:pt idx="1">
                  <c:v>0.33999999985098839</c:v>
                </c:pt>
                <c:pt idx="2">
                  <c:v>0.33999999985098839</c:v>
                </c:pt>
                <c:pt idx="3">
                  <c:v>481080.53999999986</c:v>
                </c:pt>
                <c:pt idx="4">
                  <c:v>481080.53999999986</c:v>
                </c:pt>
                <c:pt idx="5">
                  <c:v>481080.53999999986</c:v>
                </c:pt>
                <c:pt idx="6">
                  <c:v>481080.53999999986</c:v>
                </c:pt>
                <c:pt idx="7">
                  <c:v>481080.53999999986</c:v>
                </c:pt>
                <c:pt idx="8">
                  <c:v>481080.53999999986</c:v>
                </c:pt>
                <c:pt idx="9">
                  <c:v>481080.53999999986</c:v>
                </c:pt>
                <c:pt idx="10">
                  <c:v>481080.53999999986</c:v>
                </c:pt>
                <c:pt idx="11">
                  <c:v>481080.53999999986</c:v>
                </c:pt>
              </c:numCache>
            </c:numRef>
          </c:val>
          <c:smooth val="0"/>
        </c:ser>
        <c:ser>
          <c:idx val="2"/>
          <c:order val="2"/>
          <c:tx>
            <c:strRef>
              <c:f>'Data Entry'!$B$104</c:f>
              <c:strCache>
                <c:ptCount val="1"/>
                <c:pt idx="0">
                  <c:v>Expenditures cumulative</c:v>
                </c:pt>
              </c:strCache>
            </c:strRef>
          </c:tx>
          <c:spPr>
            <a:ln w="25400">
              <a:solidFill>
                <a:srgbClr val="FFCC99"/>
              </a:solidFill>
              <a:prstDash val="solid"/>
            </a:ln>
          </c:spPr>
          <c:marker>
            <c:symbol val="triangle"/>
            <c:size val="5"/>
            <c:spPr>
              <a:solidFill>
                <a:srgbClr val="FFCC99"/>
              </a:solidFill>
              <a:ln>
                <a:solidFill>
                  <a:srgbClr val="FF6600"/>
                </a:solidFill>
                <a:prstDash val="solid"/>
              </a:ln>
            </c:spPr>
          </c:marker>
          <c:val>
            <c:numRef>
              <c:f>'Data Entry'!$C$104:$N$104</c:f>
              <c:numCache>
                <c:formatCode>#,##0</c:formatCode>
                <c:ptCount val="12"/>
                <c:pt idx="0">
                  <c:v>29446.19</c:v>
                </c:pt>
                <c:pt idx="1">
                  <c:v>5120476.54</c:v>
                </c:pt>
                <c:pt idx="2">
                  <c:v>5124686.26</c:v>
                </c:pt>
                <c:pt idx="3">
                  <c:v>5148057.1899999995</c:v>
                </c:pt>
                <c:pt idx="4">
                  <c:v>5148057.1899999995</c:v>
                </c:pt>
                <c:pt idx="5">
                  <c:v>5148057.1899999995</c:v>
                </c:pt>
                <c:pt idx="6">
                  <c:v>5148057.1899999995</c:v>
                </c:pt>
                <c:pt idx="7">
                  <c:v>5148057.1899999995</c:v>
                </c:pt>
                <c:pt idx="8">
                  <c:v>5148057.1899999995</c:v>
                </c:pt>
                <c:pt idx="9">
                  <c:v>5148057.1899999995</c:v>
                </c:pt>
                <c:pt idx="10">
                  <c:v>5148057.1899999995</c:v>
                </c:pt>
                <c:pt idx="11">
                  <c:v>5148057.1899999995</c:v>
                </c:pt>
              </c:numCache>
            </c:numRef>
          </c:val>
          <c:smooth val="0"/>
        </c:ser>
        <c:dLbls>
          <c:showLegendKey val="0"/>
          <c:showVal val="0"/>
          <c:showCatName val="0"/>
          <c:showSerName val="0"/>
          <c:showPercent val="0"/>
          <c:showBubbleSize val="0"/>
        </c:dLbls>
        <c:marker val="1"/>
        <c:smooth val="0"/>
        <c:axId val="-701818720"/>
        <c:axId val="-701822528"/>
      </c:lineChart>
      <c:catAx>
        <c:axId val="-7018187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en-US"/>
          </a:p>
        </c:txPr>
        <c:crossAx val="-701822528"/>
        <c:crosses val="autoZero"/>
        <c:auto val="1"/>
        <c:lblAlgn val="ctr"/>
        <c:lblOffset val="100"/>
        <c:tickLblSkip val="1"/>
        <c:tickMarkSkip val="1"/>
        <c:noMultiLvlLbl val="0"/>
      </c:catAx>
      <c:valAx>
        <c:axId val="-701822528"/>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425" b="0" i="0" u="none" strike="noStrike" baseline="0">
                <a:solidFill>
                  <a:srgbClr val="000000"/>
                </a:solidFill>
                <a:latin typeface="Arial"/>
                <a:ea typeface="Arial"/>
                <a:cs typeface="Arial"/>
              </a:defRPr>
            </a:pPr>
            <a:endParaRPr lang="en-US"/>
          </a:p>
        </c:txPr>
        <c:crossAx val="-701818720"/>
        <c:crosses val="autoZero"/>
        <c:crossBetween val="between"/>
      </c:valAx>
      <c:spPr>
        <a:solidFill>
          <a:srgbClr val="FFFFFF"/>
        </a:solidFill>
        <a:ln w="12700">
          <a:solidFill>
            <a:srgbClr val="808080"/>
          </a:solidFill>
          <a:prstDash val="solid"/>
        </a:ln>
      </c:spPr>
    </c:plotArea>
    <c:legend>
      <c:legendPos val="r"/>
      <c:layout>
        <c:manualLayout>
          <c:xMode val="edge"/>
          <c:yMode val="edge"/>
          <c:x val="6.2189315887752797E-2"/>
          <c:y val="0.69780219780219799"/>
          <c:w val="0.922887922591766"/>
          <c:h val="0.175824175824176"/>
        </c:manualLayout>
      </c:layout>
      <c:overlay val="0"/>
      <c:spPr>
        <a:noFill/>
        <a:ln w="25400">
          <a:noFill/>
        </a:ln>
      </c:spPr>
      <c:txPr>
        <a:bodyPr/>
        <a:lstStyle/>
        <a:p>
          <a:pPr>
            <a:defRPr sz="62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t>Disbursements to PR</a:t>
            </a:r>
          </a:p>
        </c:rich>
      </c:tx>
      <c:layout>
        <c:manualLayout>
          <c:xMode val="edge"/>
          <c:yMode val="edge"/>
          <c:x val="0"/>
          <c:y val="0"/>
        </c:manualLayout>
      </c:layout>
      <c:overlay val="0"/>
      <c:spPr>
        <a:noFill/>
        <a:ln w="25400">
          <a:noFill/>
        </a:ln>
      </c:spPr>
    </c:title>
    <c:autoTitleDeleted val="0"/>
    <c:plotArea>
      <c:layout/>
      <c:areaChart>
        <c:grouping val="standard"/>
        <c:varyColors val="0"/>
        <c:ser>
          <c:idx val="0"/>
          <c:order val="0"/>
          <c:tx>
            <c:strRef>
              <c:f>'Data Entry'!$B$33</c:f>
              <c:strCache>
                <c:ptCount val="1"/>
                <c:pt idx="0">
                  <c:v>Cumulative budget</c:v>
                </c:pt>
              </c:strCache>
            </c:strRef>
          </c:tx>
          <c:spPr>
            <a:solidFill>
              <a:srgbClr val="339966"/>
            </a:solidFill>
            <a:ln w="12700">
              <a:solidFill>
                <a:srgbClr val="000000"/>
              </a:solidFill>
              <a:prstDash val="solid"/>
            </a:ln>
          </c:spPr>
          <c:cat>
            <c:strRef>
              <c:f>'Data Entry'!$C$30:$M$30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'Data Entry'!$C$33:$M$33</c:f>
              <c:numCache>
                <c:formatCode>#,##0</c:formatCode>
                <c:ptCount val="11"/>
                <c:pt idx="0">
                  <c:v>3728250.7482587667</c:v>
                </c:pt>
                <c:pt idx="1">
                  <c:v>5632849.5931904744</c:v>
                </c:pt>
                <c:pt idx="2">
                  <c:v>6198088.9585923366</c:v>
                </c:pt>
                <c:pt idx="3">
                  <c:v>6719929.391970559</c:v>
                </c:pt>
                <c:pt idx="4">
                  <c:v>0</c:v>
                </c:pt>
                <c:pt idx="5">
                  <c:v>0</c:v>
                </c:pt>
                <c:pt idx="6">
                  <c:v>0</c:v>
                </c:pt>
                <c:pt idx="7">
                  <c:v>0</c:v>
                </c:pt>
                <c:pt idx="8">
                  <c:v>0</c:v>
                </c:pt>
                <c:pt idx="9">
                  <c:v>0</c:v>
                </c:pt>
                <c:pt idx="10">
                  <c:v>0</c:v>
                </c:pt>
              </c:numCache>
            </c:numRef>
          </c:val>
        </c:ser>
        <c:ser>
          <c:idx val="1"/>
          <c:order val="1"/>
          <c:tx>
            <c:strRef>
              <c:f>'Data Entry'!$B$34</c:f>
              <c:strCache>
                <c:ptCount val="1"/>
                <c:pt idx="0">
                  <c:v>Cumulative disbursements</c:v>
                </c:pt>
              </c:strCache>
            </c:strRef>
          </c:tx>
          <c:spPr>
            <a:gradFill rotWithShape="0">
              <a:gsLst>
                <a:gs pos="0">
                  <a:srgbClr val="CCFFCC"/>
                </a:gs>
                <a:gs pos="100000">
                  <a:srgbClr val="CCFFCC">
                    <a:gamma/>
                    <a:tint val="54118"/>
                    <a:invGamma/>
                  </a:srgbClr>
                </a:gs>
              </a:gsLst>
              <a:lin ang="5400000" scaled="1"/>
            </a:gradFill>
            <a:ln w="12700">
              <a:solidFill>
                <a:srgbClr val="FFCC00"/>
              </a:solidFill>
              <a:prstDash val="solid"/>
            </a:ln>
          </c:spPr>
          <c:cat>
            <c:strRef>
              <c:f>'Data Entry'!$C$30:$M$30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'Data Entry'!$C$34:$M$34</c:f>
              <c:numCache>
                <c:formatCode>#,##0</c:formatCode>
                <c:ptCount val="11"/>
                <c:pt idx="0">
                  <c:v>4454139</c:v>
                </c:pt>
                <c:pt idx="1">
                  <c:v>11174068</c:v>
                </c:pt>
                <c:pt idx="2">
                  <c:v>11174068</c:v>
                </c:pt>
                <c:pt idx="3">
                  <c:v>11174068</c:v>
                </c:pt>
                <c:pt idx="4">
                  <c:v>0</c:v>
                </c:pt>
                <c:pt idx="5">
                  <c:v>0</c:v>
                </c:pt>
                <c:pt idx="6">
                  <c:v>0</c:v>
                </c:pt>
                <c:pt idx="7">
                  <c:v>0</c:v>
                </c:pt>
                <c:pt idx="8">
                  <c:v>0</c:v>
                </c:pt>
                <c:pt idx="9">
                  <c:v>0</c:v>
                </c:pt>
                <c:pt idx="10">
                  <c:v>0</c:v>
                </c:pt>
              </c:numCache>
            </c:numRef>
          </c:val>
        </c:ser>
        <c:dLbls>
          <c:showLegendKey val="0"/>
          <c:showVal val="0"/>
          <c:showCatName val="0"/>
          <c:showSerName val="0"/>
          <c:showPercent val="0"/>
          <c:showBubbleSize val="0"/>
        </c:dLbls>
        <c:dropLines>
          <c:spPr>
            <a:ln w="3175">
              <a:solidFill>
                <a:srgbClr val="000000"/>
              </a:solidFill>
              <a:prstDash val="solid"/>
            </a:ln>
          </c:spPr>
        </c:dropLines>
        <c:axId val="-701820896"/>
        <c:axId val="-701819808"/>
      </c:areaChart>
      <c:catAx>
        <c:axId val="-70182089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1" i="0" u="none" strike="noStrike" baseline="0">
                <a:solidFill>
                  <a:srgbClr val="000000"/>
                </a:solidFill>
                <a:latin typeface="Arial"/>
                <a:ea typeface="Arial"/>
                <a:cs typeface="Arial"/>
              </a:defRPr>
            </a:pPr>
            <a:endParaRPr lang="en-US"/>
          </a:p>
        </c:txPr>
        <c:crossAx val="-701819808"/>
        <c:crosses val="autoZero"/>
        <c:auto val="1"/>
        <c:lblAlgn val="ctr"/>
        <c:lblOffset val="100"/>
        <c:tickLblSkip val="8"/>
        <c:tickMarkSkip val="1"/>
        <c:noMultiLvlLbl val="0"/>
      </c:catAx>
      <c:valAx>
        <c:axId val="-701819808"/>
        <c:scaling>
          <c:orientation val="minMax"/>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Arial"/>
                    <a:ea typeface="Arial"/>
                    <a:cs typeface="Arial"/>
                  </a:defRPr>
                </a:pPr>
                <a:r>
                  <a:t>USD</a:t>
                </a:r>
              </a:p>
            </c:rich>
          </c:tx>
          <c:overlay val="0"/>
          <c:spPr>
            <a:noFill/>
            <a:ln w="25400">
              <a:noFill/>
            </a:ln>
          </c:spPr>
        </c:title>
        <c:numFmt formatCode="_ * #,##0_ ;_ * \-#,##0_ ;_ * &quot;-&quot;_ ;_ @_ " sourceLinked="0"/>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701820896"/>
        <c:crosses val="autoZero"/>
        <c:crossBetween val="midCat"/>
      </c:valAx>
      <c:spPr>
        <a:solidFill>
          <a:srgbClr val="FFFFFF"/>
        </a:solidFill>
        <a:ln w="3175">
          <a:solidFill>
            <a:srgbClr val="00000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legend>
    <c:plotVisOnly val="1"/>
    <c:dispBlanksAs val="zero"/>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19434544681968699"/>
          <c:y val="7.5694015811474599E-2"/>
          <c:w val="0.74366824572258605"/>
          <c:h val="0.58032078788796904"/>
        </c:manualLayout>
      </c:layout>
      <c:barChart>
        <c:barDir val="col"/>
        <c:grouping val="stacked"/>
        <c:varyColors val="0"/>
        <c:ser>
          <c:idx val="0"/>
          <c:order val="0"/>
          <c:spPr>
            <a:solidFill>
              <a:srgbClr val="0066CC"/>
            </a:solidFill>
            <a:ln w="3175">
              <a:solidFill>
                <a:srgbClr val="000000"/>
              </a:solidFill>
              <a:prstDash val="solid"/>
            </a:ln>
          </c:spPr>
          <c:invertIfNegative val="0"/>
          <c:cat>
            <c:strRef>
              <c:f>'Data Entry'!$B$56:$B$59</c:f>
              <c:strCache>
                <c:ptCount val="4"/>
                <c:pt idx="0">
                  <c:v>Disbursed by Global Fund</c:v>
                </c:pt>
                <c:pt idx="1">
                  <c:v>PR expenditure </c:v>
                </c:pt>
                <c:pt idx="2">
                  <c:v>Disbursed to SRs</c:v>
                </c:pt>
                <c:pt idx="3">
                  <c:v>SR expenditures</c:v>
                </c:pt>
              </c:strCache>
            </c:strRef>
          </c:cat>
          <c:val>
            <c:numRef>
              <c:f>'Data Entry'!$C$56:$C$59</c:f>
              <c:numCache>
                <c:formatCode>#,##0</c:formatCode>
                <c:ptCount val="4"/>
                <c:pt idx="0">
                  <c:v>6719929</c:v>
                </c:pt>
                <c:pt idx="1">
                  <c:v>8577435.6699999999</c:v>
                </c:pt>
                <c:pt idx="2">
                  <c:v>0</c:v>
                </c:pt>
                <c:pt idx="3">
                  <c:v>0</c:v>
                </c:pt>
              </c:numCache>
            </c:numRef>
          </c:val>
        </c:ser>
        <c:ser>
          <c:idx val="1"/>
          <c:order val="1"/>
          <c:spPr>
            <a:solidFill>
              <a:srgbClr val="CCFFFF"/>
            </a:solidFill>
            <a:ln w="1270">
              <a:solidFill>
                <a:schemeClr val="tx1"/>
              </a:solidFill>
              <a:prstDash val="solid"/>
              <a:miter lim="800000"/>
            </a:ln>
            <a:scene3d>
              <a:camera prst="orthographicFront"/>
              <a:lightRig rig="threePt" dir="t">
                <a:rot lat="0" lon="0" rev="1200000"/>
              </a:lightRig>
            </a:scene3d>
            <a:sp3d/>
          </c:spPr>
          <c:invertIfNegative val="0"/>
          <c:cat>
            <c:strRef>
              <c:f>'Data Entry'!$B$56:$B$59</c:f>
              <c:strCache>
                <c:ptCount val="4"/>
                <c:pt idx="0">
                  <c:v>Disbursed by Global Fund</c:v>
                </c:pt>
                <c:pt idx="1">
                  <c:v>PR expenditure </c:v>
                </c:pt>
                <c:pt idx="2">
                  <c:v>Disbursed to SRs</c:v>
                </c:pt>
                <c:pt idx="3">
                  <c:v>SR expenditures</c:v>
                </c:pt>
              </c:strCache>
            </c:strRef>
          </c:cat>
          <c:val>
            <c:numRef>
              <c:f>'Data Entry'!$D$56:$D$59</c:f>
              <c:numCache>
                <c:formatCode>_(* #,##0.00_);_(* \(#,##0.00\);_(* "-"??_);_(@_)</c:formatCode>
                <c:ptCount val="4"/>
                <c:pt idx="0">
                  <c:v>0</c:v>
                </c:pt>
                <c:pt idx="1">
                  <c:v>757624.45999999903</c:v>
                </c:pt>
                <c:pt idx="2" formatCode="#,##0">
                  <c:v>0</c:v>
                </c:pt>
                <c:pt idx="3" formatCode="#,##0">
                  <c:v>0</c:v>
                </c:pt>
              </c:numCache>
            </c:numRef>
          </c:val>
        </c:ser>
        <c:dLbls>
          <c:showLegendKey val="0"/>
          <c:showVal val="0"/>
          <c:showCatName val="0"/>
          <c:showSerName val="0"/>
          <c:showPercent val="0"/>
          <c:showBubbleSize val="0"/>
        </c:dLbls>
        <c:gapWidth val="150"/>
        <c:overlap val="100"/>
        <c:axId val="-959502912"/>
        <c:axId val="-959500736"/>
      </c:barChart>
      <c:catAx>
        <c:axId val="-959502912"/>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959500736"/>
        <c:crossesAt val="0"/>
        <c:auto val="1"/>
        <c:lblAlgn val="ctr"/>
        <c:lblOffset val="100"/>
        <c:noMultiLvlLbl val="0"/>
      </c:catAx>
      <c:valAx>
        <c:axId val="-959500736"/>
        <c:scaling>
          <c:orientation val="minMax"/>
        </c:scaling>
        <c:delete val="0"/>
        <c:axPos val="l"/>
        <c:majorGridlines/>
        <c:numFmt formatCode="#,##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959502912"/>
        <c:crosses val="autoZero"/>
        <c:crossBetween val="between"/>
      </c:valAx>
      <c:dTable>
        <c:showHorzBorder val="1"/>
        <c:showVertBorder val="1"/>
        <c:showOutline val="1"/>
        <c:showKeys val="1"/>
        <c:spPr>
          <a:ln w="3175">
            <a:solidFill>
              <a:srgbClr val="000000"/>
            </a:solidFill>
            <a:prstDash val="solid"/>
          </a:ln>
        </c:spPr>
        <c:txPr>
          <a:bodyPr/>
          <a:lstStyle/>
          <a:p>
            <a:pPr rtl="0">
              <a:defRPr sz="500" b="0" i="0" u="none" strike="noStrike" baseline="0">
                <a:solidFill>
                  <a:srgbClr val="000000"/>
                </a:solidFill>
                <a:latin typeface="Calibri"/>
                <a:ea typeface="Calibri"/>
                <a:cs typeface="Calibri"/>
              </a:defRPr>
            </a:pPr>
            <a:endParaRPr lang="en-US"/>
          </a:p>
        </c:txPr>
      </c:dTable>
      <c:spPr>
        <a:ln w="12700">
          <a:solidFill>
            <a:srgbClr val="000000"/>
          </a:solidFill>
        </a:ln>
      </c:spPr>
    </c:plotArea>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0000000000001" r="0.750000000000001"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7420147420148"/>
          <c:y val="9.3877551020408095E-2"/>
          <c:w val="0.84029484029484303"/>
          <c:h val="0.53469387755102304"/>
        </c:manualLayout>
      </c:layout>
      <c:barChart>
        <c:barDir val="col"/>
        <c:grouping val="clustered"/>
        <c:varyColors val="0"/>
        <c:ser>
          <c:idx val="0"/>
          <c:order val="0"/>
          <c:spPr>
            <a:solidFill>
              <a:srgbClr val="993366"/>
            </a:solidFill>
            <a:ln w="6350">
              <a:solidFill>
                <a:schemeClr val="tx1">
                  <a:lumMod val="95000"/>
                  <a:lumOff val="5000"/>
                </a:schemeClr>
              </a:solidFill>
            </a:ln>
            <a:effectLst>
              <a:outerShdw blurRad="25400" dist="38100" dir="2700000" algn="ctr" rotWithShape="0">
                <a:sysClr val="windowText" lastClr="000000"/>
              </a:outerShdw>
            </a:effectLst>
          </c:spPr>
          <c:invertIfNegative val="0"/>
          <c:cat>
            <c:strRef>
              <c:f>'Data Entry'!$B$41:$B$50</c:f>
              <c:strCache>
                <c:ptCount val="10"/>
                <c:pt idx="0">
                  <c:v>External Professional services</c:v>
                </c:pt>
                <c:pt idx="1">
                  <c:v>Health Products - Non Pharmaceuticals</c:v>
                </c:pt>
                <c:pt idx="2">
                  <c:v>Health Products - Equipment</c:v>
                </c:pt>
                <c:pt idx="3">
                  <c:v>Procurement and Supply-Chain Management costs</c:v>
                </c:pt>
                <c:pt idx="4">
                  <c:v>Infrastructure</c:v>
                </c:pt>
                <c:pt idx="5">
                  <c:v>Non-health equipment</c:v>
                </c:pt>
                <c:pt idx="6">
                  <c:v>Communication Material and Publications</c:v>
                </c:pt>
                <c:pt idx="7">
                  <c:v>Programme Administration costs</c:v>
                </c:pt>
                <c:pt idx="9">
                  <c:v>Commitment: 850,604 USD (50% for insecticides + 285,000 for parasite prevalence study) </c:v>
                </c:pt>
              </c:strCache>
            </c:strRef>
          </c:cat>
          <c:val>
            <c:numRef>
              <c:f>'Data Entry'!$C$39:$C$48</c:f>
              <c:numCache>
                <c:formatCode>_(* #,##0_);_(* \(#,##0\);_(* "-"??_);_(@_)</c:formatCode>
                <c:ptCount val="10"/>
                <c:pt idx="0">
                  <c:v>3077785.8239703034</c:v>
                </c:pt>
                <c:pt idx="1">
                  <c:v>529020.98029208975</c:v>
                </c:pt>
                <c:pt idx="2">
                  <c:v>1042598.3969604061</c:v>
                </c:pt>
                <c:pt idx="3">
                  <c:v>0</c:v>
                </c:pt>
                <c:pt idx="4">
                  <c:v>133278.59</c:v>
                </c:pt>
                <c:pt idx="5">
                  <c:v>27299.999999999996</c:v>
                </c:pt>
                <c:pt idx="6">
                  <c:v>12000</c:v>
                </c:pt>
                <c:pt idx="7">
                  <c:v>1566471.9310690816</c:v>
                </c:pt>
                <c:pt idx="8">
                  <c:v>164303.48286049729</c:v>
                </c:pt>
                <c:pt idx="9">
                  <c:v>167170.18681818183</c:v>
                </c:pt>
              </c:numCache>
            </c:numRef>
          </c:val>
        </c:ser>
        <c:ser>
          <c:idx val="1"/>
          <c:order val="1"/>
          <c:spPr>
            <a:solidFill>
              <a:srgbClr val="C0C0C0"/>
            </a:solidFill>
            <a:ln w="12700">
              <a:solidFill>
                <a:srgbClr val="000000"/>
              </a:solidFill>
              <a:prstDash val="solid"/>
            </a:ln>
            <a:effectLst>
              <a:outerShdw dist="35921" dir="2700000" algn="br">
                <a:srgbClr val="000000"/>
              </a:outerShdw>
            </a:effectLst>
          </c:spPr>
          <c:invertIfNegative val="0"/>
          <c:cat>
            <c:strRef>
              <c:f>'Data Entry'!$B$41:$B$50</c:f>
              <c:strCache>
                <c:ptCount val="10"/>
                <c:pt idx="0">
                  <c:v>External Professional services</c:v>
                </c:pt>
                <c:pt idx="1">
                  <c:v>Health Products - Non Pharmaceuticals</c:v>
                </c:pt>
                <c:pt idx="2">
                  <c:v>Health Products - Equipment</c:v>
                </c:pt>
                <c:pt idx="3">
                  <c:v>Procurement and Supply-Chain Management costs</c:v>
                </c:pt>
                <c:pt idx="4">
                  <c:v>Infrastructure</c:v>
                </c:pt>
                <c:pt idx="5">
                  <c:v>Non-health equipment</c:v>
                </c:pt>
                <c:pt idx="6">
                  <c:v>Communication Material and Publications</c:v>
                </c:pt>
                <c:pt idx="7">
                  <c:v>Programme Administration costs</c:v>
                </c:pt>
                <c:pt idx="9">
                  <c:v>Commitment: 850,604 USD (50% for insecticides + 285,000 for parasite prevalence study) </c:v>
                </c:pt>
              </c:strCache>
            </c:strRef>
          </c:cat>
          <c:val>
            <c:numRef>
              <c:f>'Data Entry'!$D$39:$D$49</c:f>
              <c:numCache>
                <c:formatCode>_(* #,##0_);_(* \(#,##0\);_(* "-"??_);_(@_)</c:formatCode>
                <c:ptCount val="11"/>
                <c:pt idx="0">
                  <c:v>2785565.6</c:v>
                </c:pt>
                <c:pt idx="1">
                  <c:v>233429.57</c:v>
                </c:pt>
                <c:pt idx="2">
                  <c:v>345714.11</c:v>
                </c:pt>
                <c:pt idx="3">
                  <c:v>5088011.34</c:v>
                </c:pt>
                <c:pt idx="4">
                  <c:v>60044.77</c:v>
                </c:pt>
                <c:pt idx="5">
                  <c:v>221279.63</c:v>
                </c:pt>
                <c:pt idx="6">
                  <c:v>9983.59</c:v>
                </c:pt>
                <c:pt idx="7">
                  <c:v>410214.44</c:v>
                </c:pt>
                <c:pt idx="8">
                  <c:v>7253.65</c:v>
                </c:pt>
                <c:pt idx="9">
                  <c:v>173563.43</c:v>
                </c:pt>
              </c:numCache>
            </c:numRef>
          </c:val>
        </c:ser>
        <c:dLbls>
          <c:showLegendKey val="0"/>
          <c:showVal val="0"/>
          <c:showCatName val="0"/>
          <c:showSerName val="0"/>
          <c:showPercent val="0"/>
          <c:showBubbleSize val="0"/>
        </c:dLbls>
        <c:gapWidth val="150"/>
        <c:axId val="-702909200"/>
        <c:axId val="-702917360"/>
      </c:barChart>
      <c:catAx>
        <c:axId val="-7029092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US"/>
          </a:p>
        </c:txPr>
        <c:crossAx val="-702917360"/>
        <c:crosses val="autoZero"/>
        <c:auto val="1"/>
        <c:lblAlgn val="ctr"/>
        <c:lblOffset val="100"/>
        <c:tickMarkSkip val="1"/>
        <c:noMultiLvlLbl val="0"/>
      </c:catAx>
      <c:valAx>
        <c:axId val="-702917360"/>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Arial"/>
                <a:ea typeface="Arial"/>
                <a:cs typeface="Arial"/>
              </a:defRPr>
            </a:pPr>
            <a:endParaRPr lang="en-US"/>
          </a:p>
        </c:txPr>
        <c:crossAx val="-702909200"/>
        <c:crosses val="autoZero"/>
        <c:crossBetween val="between"/>
      </c:valAx>
      <c:dTable>
        <c:showHorzBorder val="1"/>
        <c:showVertBorder val="1"/>
        <c:showOutline val="1"/>
        <c:showKeys val="1"/>
        <c:spPr>
          <a:ln w="3175">
            <a:solidFill>
              <a:srgbClr val="000000"/>
            </a:solidFill>
            <a:prstDash val="solid"/>
          </a:ln>
        </c:spPr>
        <c:txPr>
          <a:bodyPr/>
          <a:lstStyle/>
          <a:p>
            <a:pPr rtl="0">
              <a:defRPr sz="600" b="0" i="0" u="none" strike="noStrike" baseline="0">
                <a:solidFill>
                  <a:srgbClr val="000000"/>
                </a:solidFill>
                <a:latin typeface="Arial"/>
                <a:ea typeface="Arial"/>
                <a:cs typeface="Arial"/>
              </a:defRPr>
            </a:pPr>
            <a:endParaRPr lang="en-US"/>
          </a:p>
        </c:txPr>
      </c:dTable>
      <c:spPr>
        <a:noFill/>
        <a:ln w="12700">
          <a:solidFill>
            <a:srgbClr val="000000"/>
          </a:solidFill>
          <a:prstDash val="solid"/>
        </a:ln>
      </c:spPr>
    </c:plotArea>
    <c:plotVisOnly val="1"/>
    <c:dispBlanksAs val="gap"/>
    <c:showDLblsOverMax val="0"/>
  </c:chart>
  <c:spPr>
    <a:noFill/>
    <a:ln w="9525">
      <a:noFill/>
    </a:ln>
  </c:spPr>
  <c:txPr>
    <a:bodyPr/>
    <a:lstStyle/>
    <a:p>
      <a:pPr>
        <a:defRPr sz="950"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794E-2"/>
          <c:w val="0.83769347239407221"/>
          <c:h val="0.66680009761151471"/>
        </c:manualLayout>
      </c:layout>
      <c:barChart>
        <c:barDir val="col"/>
        <c:grouping val="clustered"/>
        <c:varyColors val="0"/>
        <c:ser>
          <c:idx val="0"/>
          <c:order val="0"/>
          <c:tx>
            <c:strRef>
              <c:f>'Data Entry'!$G$124</c:f>
              <c:strCache>
                <c:ptCount val="1"/>
                <c:pt idx="0">
                  <c:v>Target</c:v>
                </c:pt>
              </c:strCache>
            </c:strRef>
          </c:tx>
          <c:spPr>
            <a:solidFill>
              <a:srgbClr val="0066CC"/>
            </a:solidFill>
            <a:ln w="25400">
              <a:noFill/>
            </a:ln>
          </c:spPr>
          <c:invertIfNegative val="0"/>
          <c:cat>
            <c:strRef>
              <c:f>'Data Entry'!$H$120:$S$120</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Entry'!$H$124:$S$124</c:f>
              <c:numCache>
                <c:formatCode>#,##0</c:formatCode>
                <c:ptCount val="12"/>
                <c:pt idx="1">
                  <c:v>809876</c:v>
                </c:pt>
                <c:pt idx="2">
                  <c:v>0</c:v>
                </c:pt>
                <c:pt idx="3">
                  <c:v>0</c:v>
                </c:pt>
              </c:numCache>
            </c:numRef>
          </c:val>
        </c:ser>
        <c:ser>
          <c:idx val="1"/>
          <c:order val="1"/>
          <c:tx>
            <c:strRef>
              <c:f>'Data Entry'!$G$125</c:f>
              <c:strCache>
                <c:ptCount val="1"/>
                <c:pt idx="0">
                  <c:v>Achieved </c:v>
                </c:pt>
              </c:strCache>
            </c:strRef>
          </c:tx>
          <c:spPr>
            <a:pattFill prst="pct50">
              <a:fgClr>
                <a:srgbClr val="99CCFF"/>
              </a:fgClr>
              <a:bgClr>
                <a:srgbClr val="FFFFFF"/>
              </a:bgClr>
            </a:pattFill>
            <a:ln w="12700">
              <a:solidFill>
                <a:srgbClr val="0000FF"/>
              </a:solidFill>
              <a:prstDash val="solid"/>
            </a:ln>
          </c:spPr>
          <c:invertIfNegative val="0"/>
          <c:cat>
            <c:strRef>
              <c:f>'Data Entry'!$H$120:$S$120</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Entry'!$H$125:$S$125</c:f>
              <c:numCache>
                <c:formatCode>#,##0</c:formatCode>
                <c:ptCount val="12"/>
                <c:pt idx="1">
                  <c:v>788516</c:v>
                </c:pt>
                <c:pt idx="2">
                  <c:v>0</c:v>
                </c:pt>
                <c:pt idx="3">
                  <c:v>0</c:v>
                </c:pt>
              </c:numCache>
            </c:numRef>
          </c:val>
        </c:ser>
        <c:dLbls>
          <c:showLegendKey val="0"/>
          <c:showVal val="0"/>
          <c:showCatName val="0"/>
          <c:showSerName val="0"/>
          <c:showPercent val="0"/>
          <c:showBubbleSize val="0"/>
        </c:dLbls>
        <c:gapWidth val="150"/>
        <c:axId val="-702910288"/>
        <c:axId val="-702908656"/>
      </c:barChart>
      <c:catAx>
        <c:axId val="-7029102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550" b="1" i="0" u="none" strike="noStrike" baseline="0">
                <a:solidFill>
                  <a:srgbClr val="000000"/>
                </a:solidFill>
                <a:latin typeface="Arial"/>
                <a:ea typeface="Arial"/>
                <a:cs typeface="Arial"/>
              </a:defRPr>
            </a:pPr>
            <a:endParaRPr lang="en-US"/>
          </a:p>
        </c:txPr>
        <c:crossAx val="-702908656"/>
        <c:crosses val="autoZero"/>
        <c:auto val="1"/>
        <c:lblAlgn val="ctr"/>
        <c:lblOffset val="100"/>
        <c:tickLblSkip val="1"/>
        <c:tickMarkSkip val="1"/>
        <c:noMultiLvlLbl val="0"/>
      </c:catAx>
      <c:valAx>
        <c:axId val="-702908656"/>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702910288"/>
        <c:crosses val="autoZero"/>
        <c:crossBetween val="between"/>
      </c:valAx>
      <c:spPr>
        <a:noFill/>
        <a:ln w="25400">
          <a:noFill/>
        </a:ln>
      </c:spPr>
    </c:plotArea>
    <c:legend>
      <c:legendPos val="r"/>
      <c:layout>
        <c:manualLayout>
          <c:xMode val="edge"/>
          <c:yMode val="edge"/>
          <c:x val="0.191781283312282"/>
          <c:y val="0.911919274339413"/>
          <c:w val="0.56506946870549002"/>
          <c:h val="7.2538860103627006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794E-2"/>
          <c:w val="0.83314004319329804"/>
          <c:h val="0.65320736566206306"/>
        </c:manualLayout>
      </c:layout>
      <c:barChart>
        <c:barDir val="col"/>
        <c:grouping val="clustered"/>
        <c:varyColors val="0"/>
        <c:ser>
          <c:idx val="0"/>
          <c:order val="0"/>
          <c:tx>
            <c:strRef>
              <c:f>'Data Entry'!$G$126</c:f>
              <c:strCache>
                <c:ptCount val="1"/>
              </c:strCache>
            </c:strRef>
          </c:tx>
          <c:spPr>
            <a:solidFill>
              <a:srgbClr val="0066CC"/>
            </a:solidFill>
            <a:ln w="25400">
              <a:noFill/>
            </a:ln>
          </c:spPr>
          <c:invertIfNegative val="0"/>
          <c:cat>
            <c:strRef>
              <c:f>'Data Entry'!$H$120:$S$120</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Entry'!$H$126:$S$126</c:f>
              <c:numCache>
                <c:formatCode>#,##0</c:formatCode>
                <c:ptCount val="12"/>
              </c:numCache>
            </c:numRef>
          </c:val>
        </c:ser>
        <c:ser>
          <c:idx val="1"/>
          <c:order val="1"/>
          <c:tx>
            <c:strRef>
              <c:f>'Data Entry'!$G$127</c:f>
              <c:strCache>
                <c:ptCount val="1"/>
              </c:strCache>
            </c:strRef>
          </c:tx>
          <c:spPr>
            <a:pattFill prst="pct50">
              <a:fgClr>
                <a:srgbClr val="99CCFF"/>
              </a:fgClr>
              <a:bgClr>
                <a:srgbClr val="FFFFFF"/>
              </a:bgClr>
            </a:pattFill>
            <a:ln w="12700">
              <a:solidFill>
                <a:srgbClr val="0000FF"/>
              </a:solidFill>
              <a:prstDash val="solid"/>
            </a:ln>
          </c:spPr>
          <c:invertIfNegative val="0"/>
          <c:cat>
            <c:strRef>
              <c:f>'Data Entry'!$H$120:$S$120</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Entry'!$H$127:$S$127</c:f>
              <c:numCache>
                <c:formatCode>#,##0</c:formatCode>
                <c:ptCount val="12"/>
              </c:numCache>
            </c:numRef>
          </c:val>
        </c:ser>
        <c:dLbls>
          <c:showLegendKey val="0"/>
          <c:showVal val="0"/>
          <c:showCatName val="0"/>
          <c:showSerName val="0"/>
          <c:showPercent val="0"/>
          <c:showBubbleSize val="0"/>
        </c:dLbls>
        <c:gapWidth val="150"/>
        <c:axId val="-702915728"/>
        <c:axId val="-702912464"/>
      </c:barChart>
      <c:catAx>
        <c:axId val="-7029157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550" b="1" i="0" u="none" strike="noStrike" baseline="0">
                <a:solidFill>
                  <a:srgbClr val="000000"/>
                </a:solidFill>
                <a:latin typeface="Arial"/>
                <a:ea typeface="Arial"/>
                <a:cs typeface="Arial"/>
              </a:defRPr>
            </a:pPr>
            <a:endParaRPr lang="en-US"/>
          </a:p>
        </c:txPr>
        <c:crossAx val="-702912464"/>
        <c:crosses val="autoZero"/>
        <c:auto val="1"/>
        <c:lblAlgn val="ctr"/>
        <c:lblOffset val="100"/>
        <c:tickLblSkip val="1"/>
        <c:tickMarkSkip val="1"/>
        <c:noMultiLvlLbl val="0"/>
      </c:catAx>
      <c:valAx>
        <c:axId val="-702912464"/>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702915728"/>
        <c:crosses val="autoZero"/>
        <c:crossBetween val="between"/>
      </c:valAx>
      <c:spPr>
        <a:noFill/>
        <a:ln w="25400">
          <a:noFill/>
        </a:ln>
      </c:spPr>
    </c:plotArea>
    <c:legend>
      <c:legendPos val="r"/>
      <c:layout>
        <c:manualLayout>
          <c:xMode val="edge"/>
          <c:yMode val="edge"/>
          <c:x val="0.202090592334495"/>
          <c:y val="0.90575916230366504"/>
          <c:w val="0.57491289198606199"/>
          <c:h val="7.3298429319371805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794E-2"/>
          <c:w val="0.83314004319329804"/>
          <c:h val="0.65320736566206306"/>
        </c:manualLayout>
      </c:layout>
      <c:barChart>
        <c:barDir val="col"/>
        <c:grouping val="clustered"/>
        <c:varyColors val="0"/>
        <c:ser>
          <c:idx val="0"/>
          <c:order val="0"/>
          <c:tx>
            <c:strRef>
              <c:f>'Data Entry'!$G$120</c:f>
              <c:strCache>
                <c:ptCount val="1"/>
              </c:strCache>
            </c:strRef>
          </c:tx>
          <c:spPr>
            <a:solidFill>
              <a:srgbClr val="0066CC"/>
            </a:solidFill>
            <a:ln w="25400">
              <a:noFill/>
            </a:ln>
          </c:spPr>
          <c:invertIfNegative val="0"/>
          <c:val>
            <c:numRef>
              <c:f>'Data Entry'!$H$120:$S$120</c:f>
              <c:numCache>
                <c:formatCode>"Q"#,##0_);[Red]\("Q"#,##0\)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ser>
          <c:idx val="1"/>
          <c:order val="1"/>
          <c:tx>
            <c:strRef>
              <c:f>'Data Entry'!$G$122</c:f>
              <c:strCache>
                <c:ptCount val="1"/>
                <c:pt idx="0">
                  <c:v>Target</c:v>
                </c:pt>
              </c:strCache>
            </c:strRef>
          </c:tx>
          <c:spPr>
            <a:pattFill prst="pct50">
              <a:fgClr>
                <a:srgbClr val="99CCFF"/>
              </a:fgClr>
              <a:bgClr>
                <a:srgbClr val="FFFFFF"/>
              </a:bgClr>
            </a:pattFill>
            <a:ln w="12700">
              <a:solidFill>
                <a:srgbClr val="0000FF"/>
              </a:solidFill>
              <a:prstDash val="solid"/>
            </a:ln>
          </c:spPr>
          <c:invertIfNegative val="0"/>
          <c:val>
            <c:numRef>
              <c:f>'Data Entry'!$H$122:$S$122</c:f>
              <c:numCache>
                <c:formatCode>#,##0</c:formatCode>
                <c:ptCount val="12"/>
                <c:pt idx="1">
                  <c:v>871071</c:v>
                </c:pt>
                <c:pt idx="2">
                  <c:v>0</c:v>
                </c:pt>
                <c:pt idx="3">
                  <c:v>0</c:v>
                </c:pt>
              </c:numCache>
            </c:numRef>
          </c:val>
        </c:ser>
        <c:ser>
          <c:idx val="2"/>
          <c:order val="2"/>
          <c:tx>
            <c:strRef>
              <c:f>'Data Entry'!$G$123</c:f>
              <c:strCache>
                <c:ptCount val="1"/>
                <c:pt idx="0">
                  <c:v>Achieved </c:v>
                </c:pt>
              </c:strCache>
            </c:strRef>
          </c:tx>
          <c:invertIfNegative val="0"/>
          <c:val>
            <c:numRef>
              <c:f>'Data Entry'!$H$123:$S$123</c:f>
              <c:numCache>
                <c:formatCode>#,##0</c:formatCode>
                <c:ptCount val="12"/>
                <c:pt idx="1">
                  <c:v>771553</c:v>
                </c:pt>
                <c:pt idx="2">
                  <c:v>0</c:v>
                </c:pt>
                <c:pt idx="3">
                  <c:v>0</c:v>
                </c:pt>
              </c:numCache>
            </c:numRef>
          </c:val>
        </c:ser>
        <c:dLbls>
          <c:showLegendKey val="0"/>
          <c:showVal val="0"/>
          <c:showCatName val="0"/>
          <c:showSerName val="0"/>
          <c:showPercent val="0"/>
          <c:showBubbleSize val="0"/>
        </c:dLbls>
        <c:gapWidth val="150"/>
        <c:axId val="-702917904"/>
        <c:axId val="-702923888"/>
      </c:barChart>
      <c:catAx>
        <c:axId val="-7029179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550" b="1" i="0" u="none" strike="noStrike" baseline="0">
                <a:solidFill>
                  <a:srgbClr val="000000"/>
                </a:solidFill>
                <a:latin typeface="Arial"/>
                <a:ea typeface="Arial"/>
                <a:cs typeface="Arial"/>
              </a:defRPr>
            </a:pPr>
            <a:endParaRPr lang="en-US"/>
          </a:p>
        </c:txPr>
        <c:crossAx val="-702923888"/>
        <c:crosses val="autoZero"/>
        <c:auto val="1"/>
        <c:lblAlgn val="ctr"/>
        <c:lblOffset val="100"/>
        <c:tickLblSkip val="1"/>
        <c:tickMarkSkip val="1"/>
        <c:noMultiLvlLbl val="0"/>
      </c:catAx>
      <c:valAx>
        <c:axId val="-702923888"/>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702917904"/>
        <c:crosses val="autoZero"/>
        <c:crossBetween val="between"/>
      </c:valAx>
      <c:spPr>
        <a:noFill/>
        <a:ln w="25400">
          <a:noFill/>
        </a:ln>
      </c:spPr>
    </c:plotArea>
    <c:legend>
      <c:legendPos val="r"/>
      <c:layout>
        <c:manualLayout>
          <c:xMode val="edge"/>
          <c:yMode val="edge"/>
          <c:x val="0.21754459639913501"/>
          <c:y val="0.91237113402061898"/>
          <c:w val="0.19845530440380399"/>
          <c:h val="8.7629108382639626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6.1440741526190799E-2"/>
          <c:y val="0.195653558463248"/>
          <c:w val="0.86864496640476996"/>
          <c:h val="0.42029282929142098"/>
        </c:manualLayout>
      </c:layout>
      <c:barChart>
        <c:barDir val="bar"/>
        <c:grouping val="percentStacked"/>
        <c:varyColors val="0"/>
        <c:ser>
          <c:idx val="0"/>
          <c:order val="0"/>
          <c:spPr>
            <a:noFill/>
            <a:ln w="25400">
              <a:noFill/>
            </a:ln>
            <a:effectLst>
              <a:outerShdw dist="35921" dir="2700000" algn="br">
                <a:srgbClr val="000000"/>
              </a:outerShdw>
            </a:effectLst>
          </c:spPr>
          <c:invertIfNegative val="0"/>
          <c:dLbls>
            <c:dLbl>
              <c:idx val="0"/>
              <c:layout>
                <c:manualLayout>
                  <c:x val="0.25756013242089298"/>
                  <c:y val="-0.29611370761718198"/>
                </c:manualLayout>
              </c:layout>
              <c:numFmt formatCode="#,##0" sourceLinked="0"/>
              <c:spPr>
                <a:noFill/>
                <a:ln w="25400">
                  <a:noFill/>
                </a:ln>
              </c:spPr>
              <c:txPr>
                <a:bodyPr/>
                <a:lstStyle/>
                <a:p>
                  <a:pPr>
                    <a:defRPr sz="1000" b="1" i="0" u="none" strike="noStrike" baseline="0">
                      <a:solidFill>
                        <a:srgbClr val="000000"/>
                      </a:solidFill>
                      <a:latin typeface="Calibri"/>
                      <a:ea typeface="Calibri"/>
                      <a:cs typeface="Calibri"/>
                    </a:defRPr>
                  </a:pPr>
                  <a:endParaRPr lang="en-US"/>
                </a:p>
              </c:txPr>
              <c:dLblPos val="ctr"/>
              <c:showLegendKey val="0"/>
              <c:showVal val="1"/>
              <c:showCatName val="0"/>
              <c:showSerName val="1"/>
              <c:showPercent val="0"/>
              <c:showBubbleSize val="0"/>
              <c:extLst>
                <c:ext xmlns:c15="http://schemas.microsoft.com/office/drawing/2012/chart" uri="{CE6537A1-D6FC-4f65-9D91-7224C49458BB}"/>
              </c:extLst>
            </c:dLbl>
            <c:numFmt formatCode="#,##0" sourceLinked="0"/>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Ref>
              <c:f>'Data Entry'!$C$83</c:f>
              <c:numCache>
                <c:formatCode>General</c:formatCode>
                <c:ptCount val="1"/>
              </c:numCache>
            </c:numRef>
          </c:val>
        </c:ser>
        <c:dLbls>
          <c:showLegendKey val="0"/>
          <c:showVal val="0"/>
          <c:showCatName val="0"/>
          <c:showSerName val="0"/>
          <c:showPercent val="0"/>
          <c:showBubbleSize val="0"/>
        </c:dLbls>
        <c:gapWidth val="79"/>
        <c:overlap val="100"/>
        <c:axId val="-702915184"/>
        <c:axId val="-702911376"/>
      </c:barChart>
      <c:catAx>
        <c:axId val="-702915184"/>
        <c:scaling>
          <c:orientation val="minMax"/>
        </c:scaling>
        <c:delete val="1"/>
        <c:axPos val="l"/>
        <c:majorTickMark val="out"/>
        <c:minorTickMark val="none"/>
        <c:tickLblPos val="none"/>
        <c:crossAx val="-702911376"/>
        <c:crosses val="autoZero"/>
        <c:auto val="1"/>
        <c:lblAlgn val="ctr"/>
        <c:lblOffset val="100"/>
        <c:noMultiLvlLbl val="0"/>
      </c:catAx>
      <c:valAx>
        <c:axId val="-702911376"/>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702915184"/>
        <c:crosses val="max"/>
        <c:crossBetween val="between"/>
      </c:valAx>
    </c:plotArea>
    <c:legend>
      <c:legendPos val="r"/>
      <c:layout>
        <c:manualLayout>
          <c:xMode val="edge"/>
          <c:yMode val="edge"/>
          <c:x val="0.29449174785355198"/>
          <c:y val="0.80435315150823505"/>
          <c:w val="0.37076315672405302"/>
          <c:h val="0.14492829700635301"/>
        </c:manualLayout>
      </c:layout>
      <c:overlay val="0"/>
      <c:spPr>
        <a:noFill/>
        <a:ln w="25400">
          <a:noFill/>
        </a:ln>
      </c:spPr>
      <c:txPr>
        <a:bodyPr/>
        <a:lstStyle/>
        <a:p>
          <a:pPr>
            <a:defRPr sz="755" b="0" i="0" u="none" strike="noStrike" baseline="0">
              <a:solidFill>
                <a:srgbClr val="000000"/>
              </a:solidFill>
              <a:latin typeface="Calibri"/>
              <a:ea typeface="Calibri"/>
              <a:cs typeface="Calibri"/>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0000000000001" r="0.750000000000001"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938215102974794E-2"/>
          <c:y val="0.13661275087917801"/>
          <c:w val="0.89702517162471496"/>
          <c:h val="0.60656061390354998"/>
        </c:manualLayout>
      </c:layout>
      <c:barChart>
        <c:barDir val="col"/>
        <c:grouping val="clustered"/>
        <c:varyColors val="0"/>
        <c:ser>
          <c:idx val="0"/>
          <c:order val="0"/>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Entry'!$C$88</c:f>
              <c:numCache>
                <c:formatCode>General</c:formatCode>
                <c:ptCount val="1"/>
                <c:pt idx="0">
                  <c:v>0</c:v>
                </c:pt>
              </c:numCache>
            </c:numRef>
          </c:val>
        </c:ser>
        <c:dLbls>
          <c:showLegendKey val="0"/>
          <c:showVal val="0"/>
          <c:showCatName val="0"/>
          <c:showSerName val="0"/>
          <c:showPercent val="0"/>
          <c:showBubbleSize val="0"/>
        </c:dLbls>
        <c:gapWidth val="150"/>
        <c:overlap val="-20"/>
        <c:axId val="-702914640"/>
        <c:axId val="-702914096"/>
      </c:barChart>
      <c:catAx>
        <c:axId val="-702914640"/>
        <c:scaling>
          <c:orientation val="minMax"/>
        </c:scaling>
        <c:delete val="0"/>
        <c:axPos val="b"/>
        <c:majorTickMark val="none"/>
        <c:minorTickMark val="none"/>
        <c:tickLblPos val="none"/>
        <c:spPr>
          <a:ln w="3175">
            <a:solidFill>
              <a:srgbClr val="000000"/>
            </a:solidFill>
            <a:prstDash val="solid"/>
          </a:ln>
        </c:spPr>
        <c:crossAx val="-702914096"/>
        <c:crosses val="autoZero"/>
        <c:auto val="0"/>
        <c:lblAlgn val="ctr"/>
        <c:lblOffset val="100"/>
        <c:tickMarkSkip val="1"/>
        <c:noMultiLvlLbl val="0"/>
      </c:catAx>
      <c:valAx>
        <c:axId val="-70291409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702914640"/>
        <c:crosses val="autoZero"/>
        <c:crossBetween val="between"/>
      </c:valAx>
      <c:spPr>
        <a:noFill/>
        <a:ln w="25400">
          <a:noFill/>
        </a:ln>
      </c:spPr>
    </c:plotArea>
    <c:legend>
      <c:legendPos val="r"/>
      <c:layout>
        <c:manualLayout>
          <c:xMode val="edge"/>
          <c:yMode val="edge"/>
          <c:x val="7.0422535211267595E-2"/>
          <c:y val="0.85245901639344501"/>
          <c:w val="0.85446009389671296"/>
          <c:h val="0.109289617486339"/>
        </c:manualLayout>
      </c:layout>
      <c:overlay val="0"/>
      <c:spPr>
        <a:noFill/>
        <a:ln w="25400">
          <a:noFill/>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7299771167048101"/>
          <c:y val="5.6000000000000001E-2"/>
          <c:w val="0.54462242562929097"/>
          <c:h val="0.56000000000000005"/>
        </c:manualLayout>
      </c:layout>
      <c:barChart>
        <c:barDir val="bar"/>
        <c:grouping val="percentStacked"/>
        <c:varyColors val="0"/>
        <c:ser>
          <c:idx val="0"/>
          <c:order val="0"/>
          <c:tx>
            <c:strRef>
              <c:f>'Data Entry'!$D$75</c:f>
              <c:strCache>
                <c:ptCount val="1"/>
                <c:pt idx="0">
                  <c:v>Fulfilled</c:v>
                </c:pt>
              </c:strCache>
            </c:strRef>
          </c:tx>
          <c:spPr>
            <a:solidFill>
              <a:srgbClr val="99CC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 Entry'!$B$76:$B$77</c:f>
              <c:strCache>
                <c:ptCount val="2"/>
                <c:pt idx="0">
                  <c:v>Conditions Precedent (CPs)</c:v>
                </c:pt>
                <c:pt idx="1">
                  <c:v>Time Bound Actions (TBAs)</c:v>
                </c:pt>
              </c:strCache>
            </c:strRef>
          </c:cat>
          <c:val>
            <c:numRef>
              <c:f>'Data Entry'!$D$76:$D$77</c:f>
              <c:numCache>
                <c:formatCode>0</c:formatCode>
                <c:ptCount val="2"/>
              </c:numCache>
            </c:numRef>
          </c:val>
        </c:ser>
        <c:ser>
          <c:idx val="1"/>
          <c:order val="1"/>
          <c:tx>
            <c:strRef>
              <c:f>'Data Entry'!$E$75</c:f>
              <c:strCache>
                <c:ptCount val="1"/>
                <c:pt idx="0">
                  <c:v>Not fulfilled, but within deadline</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 Entry'!$B$76:$B$77</c:f>
              <c:strCache>
                <c:ptCount val="2"/>
                <c:pt idx="0">
                  <c:v>Conditions Precedent (CPs)</c:v>
                </c:pt>
                <c:pt idx="1">
                  <c:v>Time Bound Actions (TBAs)</c:v>
                </c:pt>
              </c:strCache>
            </c:strRef>
          </c:cat>
          <c:val>
            <c:numRef>
              <c:f>'Data Entry'!$E$76:$E$77</c:f>
              <c:numCache>
                <c:formatCode>0</c:formatCode>
                <c:ptCount val="2"/>
              </c:numCache>
            </c:numRef>
          </c:val>
        </c:ser>
        <c:ser>
          <c:idx val="2"/>
          <c:order val="2"/>
          <c:tx>
            <c:strRef>
              <c:f>'Data Entry'!$F$75</c:f>
              <c:strCache>
                <c:ptCount val="1"/>
                <c:pt idx="0">
                  <c:v>Not fulfilled, and past the deadline</c:v>
                </c:pt>
              </c:strCache>
            </c:strRef>
          </c:tx>
          <c:spPr>
            <a:solidFill>
              <a:srgbClr val="FF505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 Entry'!$B$76:$B$77</c:f>
              <c:strCache>
                <c:ptCount val="2"/>
                <c:pt idx="0">
                  <c:v>Conditions Precedent (CPs)</c:v>
                </c:pt>
                <c:pt idx="1">
                  <c:v>Time Bound Actions (TBAs)</c:v>
                </c:pt>
              </c:strCache>
            </c:strRef>
          </c:cat>
          <c:val>
            <c:numRef>
              <c:f>'Data Entry'!$F$76:$F$77</c:f>
              <c:numCache>
                <c:formatCode>0</c:formatCode>
                <c:ptCount val="2"/>
              </c:numCache>
            </c:numRef>
          </c:val>
        </c:ser>
        <c:dLbls>
          <c:showLegendKey val="0"/>
          <c:showVal val="0"/>
          <c:showCatName val="0"/>
          <c:showSerName val="0"/>
          <c:showPercent val="0"/>
          <c:showBubbleSize val="0"/>
        </c:dLbls>
        <c:gapWidth val="70"/>
        <c:overlap val="100"/>
        <c:axId val="-702920624"/>
        <c:axId val="-702922800"/>
      </c:barChart>
      <c:catAx>
        <c:axId val="-70292062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702922800"/>
        <c:crosses val="autoZero"/>
        <c:auto val="1"/>
        <c:lblAlgn val="ctr"/>
        <c:lblOffset val="100"/>
        <c:tickLblSkip val="1"/>
        <c:tickMarkSkip val="1"/>
        <c:noMultiLvlLbl val="0"/>
      </c:catAx>
      <c:valAx>
        <c:axId val="-702922800"/>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702920624"/>
        <c:crosses val="autoZero"/>
        <c:crossBetween val="between"/>
      </c:valAx>
      <c:spPr>
        <a:noFill/>
        <a:ln w="25400">
          <a:noFill/>
        </a:ln>
      </c:spPr>
    </c:plotArea>
    <c:legend>
      <c:legendPos val="r"/>
      <c:layout>
        <c:manualLayout>
          <c:xMode val="edge"/>
          <c:yMode val="edge"/>
          <c:x val="1.1441647597254001E-2"/>
          <c:y val="0.81599999999999995"/>
          <c:w val="0.97940503432494297"/>
          <c:h val="0.16"/>
        </c:manualLayout>
      </c:layout>
      <c:overlay val="0"/>
      <c:spPr>
        <a:noFill/>
        <a:ln w="25400">
          <a:noFill/>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50"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Grant Detail'!A1"/><Relationship Id="rId13" Type="http://schemas.openxmlformats.org/officeDocument/2006/relationships/image" Target="../media/image5.png"/><Relationship Id="rId3" Type="http://schemas.openxmlformats.org/officeDocument/2006/relationships/hyperlink" Target="#Finance!A1"/><Relationship Id="rId7" Type="http://schemas.openxmlformats.org/officeDocument/2006/relationships/hyperlink" Target="#Actions!A1"/><Relationship Id="rId12"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Recommendations!A1"/><Relationship Id="rId11" Type="http://schemas.openxmlformats.org/officeDocument/2006/relationships/image" Target="../media/image3.png"/><Relationship Id="rId5" Type="http://schemas.openxmlformats.org/officeDocument/2006/relationships/hyperlink" Target="#Management!A1"/><Relationship Id="rId10" Type="http://schemas.openxmlformats.org/officeDocument/2006/relationships/hyperlink" Target="#'Data Entry'!A1"/><Relationship Id="rId4" Type="http://schemas.openxmlformats.org/officeDocument/2006/relationships/hyperlink" Target="#Programmatic!A1"/><Relationship Id="rId9" Type="http://schemas.openxmlformats.org/officeDocument/2006/relationships/hyperlink" Target="#'List of Indicators'!A1"/><Relationship Id="rId14" Type="http://schemas.openxmlformats.org/officeDocument/2006/relationships/image" Target="../media/image6.png"/></Relationships>
</file>

<file path=xl/drawings/_rels/drawing10.xml.rels><?xml version="1.0" encoding="UTF-8" standalone="yes"?>
<Relationships xmlns="http://schemas.openxmlformats.org/package/2006/relationships"><Relationship Id="rId1" Type="http://schemas.openxmlformats.org/officeDocument/2006/relationships/image" Target="../media/image9.jpeg"/></Relationships>
</file>

<file path=xl/drawings/_rels/drawing2.xml.rels><?xml version="1.0" encoding="UTF-8" standalone="yes"?>
<Relationships xmlns="http://schemas.openxmlformats.org/package/2006/relationships"><Relationship Id="rId1" Type="http://schemas.openxmlformats.org/officeDocument/2006/relationships/hyperlink" Target="#Menu!A1"/></Relationships>
</file>

<file path=xl/drawings/_rels/drawing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hyperlink" Target="#Menu!A1"/><Relationship Id="rId1" Type="http://schemas.openxmlformats.org/officeDocument/2006/relationships/hyperlink" Target="http://www.crwflags.com/fotw/flags/country.html#http:/www.crwflags.com/fotw/flags/country.html"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2.xml"/><Relationship Id="rId7" Type="http://schemas.openxmlformats.org/officeDocument/2006/relationships/image" Target="../media/image6.png"/><Relationship Id="rId2" Type="http://schemas.openxmlformats.org/officeDocument/2006/relationships/hyperlink" Target="#Menu!A1"/><Relationship Id="rId1" Type="http://schemas.openxmlformats.org/officeDocument/2006/relationships/chart" Target="../charts/chart1.xml"/><Relationship Id="rId6" Type="http://schemas.openxmlformats.org/officeDocument/2006/relationships/image" Target="../media/image8.png"/><Relationship Id="rId5" Type="http://schemas.openxmlformats.org/officeDocument/2006/relationships/chart" Target="../charts/chart3.xml"/><Relationship Id="rId4" Type="http://schemas.openxmlformats.org/officeDocument/2006/relationships/image" Target="../media/image7.png"/></Relationships>
</file>

<file path=xl/drawings/_rels/drawing6.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hyperlink" Target="#Menu!A1"/><Relationship Id="rId1" Type="http://schemas.openxmlformats.org/officeDocument/2006/relationships/chart" Target="../charts/chart4.xml"/><Relationship Id="rId5" Type="http://schemas.openxmlformats.org/officeDocument/2006/relationships/image" Target="../media/image6.png"/><Relationship Id="rId4" Type="http://schemas.openxmlformats.org/officeDocument/2006/relationships/chart" Target="../charts/chart6.xml"/></Relationships>
</file>

<file path=xl/drawings/_rels/drawing7.xml.rels><?xml version="1.0" encoding="UTF-8" standalone="yes"?>
<Relationships xmlns="http://schemas.openxmlformats.org/package/2006/relationships"><Relationship Id="rId3" Type="http://schemas.openxmlformats.org/officeDocument/2006/relationships/chart" Target="../charts/chart9.xml"/><Relationship Id="rId7" Type="http://schemas.openxmlformats.org/officeDocument/2006/relationships/image" Target="../media/image6.png"/><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hyperlink" Target="#Menu!A1"/><Relationship Id="rId5" Type="http://schemas.openxmlformats.org/officeDocument/2006/relationships/chart" Target="../charts/chart11.xml"/><Relationship Id="rId4" Type="http://schemas.openxmlformats.org/officeDocument/2006/relationships/chart" Target="../charts/chart10.xml"/></Relationships>
</file>

<file path=xl/drawings/_rels/drawing8.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hyperlink" Target="#Menu!A1"/><Relationship Id="rId1" Type="http://schemas.openxmlformats.org/officeDocument/2006/relationships/chart" Target="../charts/chart12.xml"/></Relationships>
</file>

<file path=xl/drawings/_rels/drawing9.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Menu!A1"/></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4</xdr:row>
      <xdr:rowOff>142875</xdr:rowOff>
    </xdr:from>
    <xdr:to>
      <xdr:col>11</xdr:col>
      <xdr:colOff>638175</xdr:colOff>
      <xdr:row>19</xdr:row>
      <xdr:rowOff>104775</xdr:rowOff>
    </xdr:to>
    <xdr:pic>
      <xdr:nvPicPr>
        <xdr:cNvPr id="756776" name="Picture 2"/>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l="31349" t="36853" r="9531"/>
        <a:stretch>
          <a:fillRect/>
        </a:stretch>
      </xdr:blipFill>
      <xdr:spPr bwMode="auto">
        <a:xfrm>
          <a:off x="38100" y="1381125"/>
          <a:ext cx="7648575" cy="2819400"/>
        </a:xfrm>
        <a:prstGeom prst="rect">
          <a:avLst/>
        </a:prstGeom>
        <a:noFill/>
        <a:ln w="1">
          <a:noFill/>
          <a:miter lim="800000"/>
          <a:headEnd/>
          <a:tailEnd/>
        </a:ln>
      </xdr:spPr>
    </xdr:pic>
    <xdr:clientData/>
  </xdr:twoCellAnchor>
  <xdr:twoCellAnchor editAs="oneCell">
    <xdr:from>
      <xdr:col>7</xdr:col>
      <xdr:colOff>685800</xdr:colOff>
      <xdr:row>7</xdr:row>
      <xdr:rowOff>47625</xdr:rowOff>
    </xdr:from>
    <xdr:to>
      <xdr:col>11</xdr:col>
      <xdr:colOff>542925</xdr:colOff>
      <xdr:row>18</xdr:row>
      <xdr:rowOff>142875</xdr:rowOff>
    </xdr:to>
    <xdr:pic>
      <xdr:nvPicPr>
        <xdr:cNvPr id="756777" name="Picture 824"/>
        <xdr:cNvPicPr>
          <a:picLocks noChangeAspect="1" noChangeArrowheads="1"/>
        </xdr:cNvPicPr>
      </xdr:nvPicPr>
      <xdr:blipFill>
        <a:blip xmlns:r="http://schemas.openxmlformats.org/officeDocument/2006/relationships" r:embed="rId2" cstate="print"/>
        <a:srcRect/>
        <a:stretch>
          <a:fillRect/>
        </a:stretch>
      </xdr:blipFill>
      <xdr:spPr bwMode="auto">
        <a:xfrm>
          <a:off x="5334000" y="1857375"/>
          <a:ext cx="2257425" cy="2190750"/>
        </a:xfrm>
        <a:prstGeom prst="rect">
          <a:avLst/>
        </a:prstGeom>
        <a:noFill/>
        <a:ln w="9525">
          <a:noFill/>
          <a:miter lim="800000"/>
          <a:headEnd/>
          <a:tailEnd/>
        </a:ln>
      </xdr:spPr>
    </xdr:pic>
    <xdr:clientData/>
  </xdr:twoCellAnchor>
  <xdr:twoCellAnchor>
    <xdr:from>
      <xdr:col>4</xdr:col>
      <xdr:colOff>257175</xdr:colOff>
      <xdr:row>7</xdr:row>
      <xdr:rowOff>104775</xdr:rowOff>
    </xdr:from>
    <xdr:to>
      <xdr:col>7</xdr:col>
      <xdr:colOff>552450</xdr:colOff>
      <xdr:row>18</xdr:row>
      <xdr:rowOff>76200</xdr:rowOff>
    </xdr:to>
    <xdr:sp macro="" textlink="">
      <xdr:nvSpPr>
        <xdr:cNvPr id="756778" name="AutoShape 27"/>
        <xdr:cNvSpPr>
          <a:spLocks noChangeArrowheads="1"/>
        </xdr:cNvSpPr>
      </xdr:nvSpPr>
      <xdr:spPr bwMode="gray">
        <a:xfrm>
          <a:off x="2619375" y="1914525"/>
          <a:ext cx="2581275" cy="2066925"/>
        </a:xfrm>
        <a:prstGeom prst="roundRect">
          <a:avLst>
            <a:gd name="adj" fmla="val 11921"/>
          </a:avLst>
        </a:prstGeom>
        <a:gradFill rotWithShape="1">
          <a:gsLst>
            <a:gs pos="0">
              <a:srgbClr val="D48886"/>
            </a:gs>
            <a:gs pos="100000">
              <a:srgbClr val="B24B48"/>
            </a:gs>
          </a:gsLst>
          <a:lin ang="5400000" scaled="1"/>
        </a:gradFill>
        <a:ln w="9525">
          <a:solidFill>
            <a:srgbClr val="FEFEFE"/>
          </a:solidFill>
          <a:round/>
          <a:headEnd/>
          <a:tailEnd/>
        </a:ln>
      </xdr:spPr>
    </xdr:sp>
    <xdr:clientData/>
  </xdr:twoCellAnchor>
  <xdr:twoCellAnchor>
    <xdr:from>
      <xdr:col>5</xdr:col>
      <xdr:colOff>285750</xdr:colOff>
      <xdr:row>10</xdr:row>
      <xdr:rowOff>47625</xdr:rowOff>
    </xdr:from>
    <xdr:to>
      <xdr:col>6</xdr:col>
      <xdr:colOff>533400</xdr:colOff>
      <xdr:row>12</xdr:row>
      <xdr:rowOff>38100</xdr:rowOff>
    </xdr:to>
    <xdr:grpSp>
      <xdr:nvGrpSpPr>
        <xdr:cNvPr id="756779" name="Group 25">
          <a:hlinkClick xmlns:r="http://schemas.openxmlformats.org/officeDocument/2006/relationships" r:id="rId3"/>
        </xdr:cNvPr>
        <xdr:cNvGrpSpPr>
          <a:grpSpLocks/>
        </xdr:cNvGrpSpPr>
      </xdr:nvGrpSpPr>
      <xdr:grpSpPr bwMode="auto">
        <a:xfrm>
          <a:off x="3407833" y="2428875"/>
          <a:ext cx="1009650" cy="371475"/>
          <a:chOff x="1200" y="1912"/>
          <a:chExt cx="3456" cy="774"/>
        </a:xfrm>
      </xdr:grpSpPr>
      <xdr:sp macro="" textlink="">
        <xdr:nvSpPr>
          <xdr:cNvPr id="7370"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en-US"/>
          </a:p>
        </xdr:txBody>
      </xdr:sp>
      <xdr:sp macro="" textlink="">
        <xdr:nvSpPr>
          <xdr:cNvPr id="22" name="AutoShape 27"/>
          <xdr:cNvSpPr>
            <a:spLocks noChangeArrowheads="1"/>
          </xdr:cNvSpPr>
        </xdr:nvSpPr>
        <xdr:spPr bwMode="gray">
          <a:xfrm>
            <a:off x="1265" y="1991"/>
            <a:ext cx="3293" cy="615"/>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strike="noStrike">
                <a:solidFill>
                  <a:srgbClr val="FFFFFF"/>
                </a:solidFill>
                <a:latin typeface="Arial"/>
                <a:cs typeface="Arial"/>
              </a:rPr>
              <a:t>Finance</a:t>
            </a:r>
          </a:p>
        </xdr:txBody>
      </xdr:sp>
      <xdr:sp macro="" textlink="">
        <xdr:nvSpPr>
          <xdr:cNvPr id="23" name="Freeform 28"/>
          <xdr:cNvSpPr>
            <a:spLocks/>
          </xdr:cNvSpPr>
        </xdr:nvSpPr>
        <xdr:spPr bwMode="gray">
          <a:xfrm>
            <a:off x="1298" y="2011"/>
            <a:ext cx="359" cy="33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323850</xdr:colOff>
      <xdr:row>15</xdr:row>
      <xdr:rowOff>171450</xdr:rowOff>
    </xdr:from>
    <xdr:to>
      <xdr:col>6</xdr:col>
      <xdr:colOff>628650</xdr:colOff>
      <xdr:row>17</xdr:row>
      <xdr:rowOff>161925</xdr:rowOff>
    </xdr:to>
    <xdr:grpSp>
      <xdr:nvGrpSpPr>
        <xdr:cNvPr id="756780" name="Group 25">
          <a:hlinkClick xmlns:r="http://schemas.openxmlformats.org/officeDocument/2006/relationships" r:id="rId4"/>
        </xdr:cNvPr>
        <xdr:cNvGrpSpPr>
          <a:grpSpLocks/>
        </xdr:cNvGrpSpPr>
      </xdr:nvGrpSpPr>
      <xdr:grpSpPr bwMode="auto">
        <a:xfrm>
          <a:off x="3445933" y="3505200"/>
          <a:ext cx="1066800" cy="371475"/>
          <a:chOff x="1200" y="1912"/>
          <a:chExt cx="3456" cy="774"/>
        </a:xfrm>
      </xdr:grpSpPr>
      <xdr:sp macro="" textlink="">
        <xdr:nvSpPr>
          <xdr:cNvPr id="7367"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en-US"/>
          </a:p>
        </xdr:txBody>
      </xdr:sp>
      <xdr:sp macro="" textlink="">
        <xdr:nvSpPr>
          <xdr:cNvPr id="26" name="AutoShape 27"/>
          <xdr:cNvSpPr>
            <a:spLocks noChangeArrowheads="1"/>
          </xdr:cNvSpPr>
        </xdr:nvSpPr>
        <xdr:spPr bwMode="gray">
          <a:xfrm>
            <a:off x="1293" y="1991"/>
            <a:ext cx="3302" cy="615"/>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u="none" strike="noStrike" baseline="0">
                <a:solidFill>
                  <a:srgbClr val="FFFFFF"/>
                </a:solidFill>
                <a:latin typeface="Arial"/>
                <a:cs typeface="Arial"/>
              </a:rPr>
              <a:t>Programmatic</a:t>
            </a:r>
          </a:p>
        </xdr:txBody>
      </xdr:sp>
      <xdr:sp macro="" textlink="">
        <xdr:nvSpPr>
          <xdr:cNvPr id="27" name="Freeform 28"/>
          <xdr:cNvSpPr>
            <a:spLocks/>
          </xdr:cNvSpPr>
        </xdr:nvSpPr>
        <xdr:spPr bwMode="gray">
          <a:xfrm>
            <a:off x="1293" y="2011"/>
            <a:ext cx="370" cy="33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285750</xdr:colOff>
      <xdr:row>13</xdr:row>
      <xdr:rowOff>9525</xdr:rowOff>
    </xdr:from>
    <xdr:to>
      <xdr:col>6</xdr:col>
      <xdr:colOff>590550</xdr:colOff>
      <xdr:row>15</xdr:row>
      <xdr:rowOff>0</xdr:rowOff>
    </xdr:to>
    <xdr:grpSp>
      <xdr:nvGrpSpPr>
        <xdr:cNvPr id="756781" name="Group 25">
          <a:hlinkClick xmlns:r="http://schemas.openxmlformats.org/officeDocument/2006/relationships" r:id="rId5"/>
        </xdr:cNvPr>
        <xdr:cNvGrpSpPr>
          <a:grpSpLocks/>
        </xdr:cNvGrpSpPr>
      </xdr:nvGrpSpPr>
      <xdr:grpSpPr bwMode="auto">
        <a:xfrm>
          <a:off x="3407833" y="2962275"/>
          <a:ext cx="1066800" cy="371475"/>
          <a:chOff x="1200" y="1912"/>
          <a:chExt cx="3456" cy="774"/>
        </a:xfrm>
      </xdr:grpSpPr>
      <xdr:sp macro="" textlink="">
        <xdr:nvSpPr>
          <xdr:cNvPr id="7364"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en-US"/>
          </a:p>
        </xdr:txBody>
      </xdr:sp>
      <xdr:sp macro="" textlink="">
        <xdr:nvSpPr>
          <xdr:cNvPr id="207941" name="AutoShape 27"/>
          <xdr:cNvSpPr>
            <a:spLocks noChangeArrowheads="1"/>
          </xdr:cNvSpPr>
        </xdr:nvSpPr>
        <xdr:spPr bwMode="gray">
          <a:xfrm>
            <a:off x="1293" y="1991"/>
            <a:ext cx="3302" cy="615"/>
          </a:xfrm>
          <a:prstGeom prst="roundRect">
            <a:avLst>
              <a:gd name="adj" fmla="val 11921"/>
            </a:avLst>
          </a:prstGeom>
          <a:gradFill rotWithShape="1">
            <a:gsLst>
              <a:gs pos="0">
                <a:srgbClr val="C0504D"/>
              </a:gs>
              <a:gs pos="100000">
                <a:srgbClr val="863836"/>
              </a:gs>
            </a:gsLst>
            <a:lin ang="5400000" scaled="1"/>
          </a:gradFill>
          <a:ln w="9525">
            <a:solidFill>
              <a:srgbClr val="FEFEFE"/>
            </a:solidFill>
            <a:round/>
            <a:headEnd/>
            <a:tailEnd/>
          </a:ln>
        </xdr:spPr>
        <xdr:txBody>
          <a:bodyPr vertOverflow="clip" wrap="square" lIns="54000" tIns="46800" rIns="18000" bIns="46800" anchor="ctr" upright="1"/>
          <a:lstStyle/>
          <a:p>
            <a:pPr algn="ctr" rtl="0">
              <a:defRPr sz="1000"/>
            </a:pPr>
            <a:r>
              <a:rPr lang="en-US" sz="1000" b="0" i="0" strike="noStrike">
                <a:solidFill>
                  <a:srgbClr val="FFFFFF"/>
                </a:solidFill>
                <a:latin typeface="Arial"/>
                <a:cs typeface="Arial"/>
              </a:rPr>
              <a:t>Management</a:t>
            </a:r>
          </a:p>
        </xdr:txBody>
      </xdr:sp>
      <xdr:sp macro="" textlink="">
        <xdr:nvSpPr>
          <xdr:cNvPr id="207942" name="Freeform 28"/>
          <xdr:cNvSpPr>
            <a:spLocks/>
          </xdr:cNvSpPr>
        </xdr:nvSpPr>
        <xdr:spPr bwMode="gray">
          <a:xfrm>
            <a:off x="1293" y="2011"/>
            <a:ext cx="370" cy="337"/>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DDA09E"/>
              </a:gs>
              <a:gs pos="50000">
                <a:srgbClr val="C0504D">
                  <a:alpha val="0"/>
                </a:srgbClr>
              </a:gs>
              <a:gs pos="100000">
                <a:srgbClr val="DDA09E"/>
              </a:gs>
            </a:gsLst>
            <a:lin ang="2700000" scaled="1"/>
          </a:gradFill>
          <a:ln w="9525">
            <a:noFill/>
            <a:round/>
            <a:headEnd/>
            <a:tailEnd/>
          </a:ln>
        </xdr:spPr>
        <xdr:txBody>
          <a:bodyPr/>
          <a:lstStyle/>
          <a:p>
            <a:endParaRPr lang="en-US"/>
          </a:p>
        </xdr:txBody>
      </xdr:sp>
    </xdr:grpSp>
    <xdr:clientData/>
  </xdr:twoCellAnchor>
  <xdr:twoCellAnchor>
    <xdr:from>
      <xdr:col>4</xdr:col>
      <xdr:colOff>323850</xdr:colOff>
      <xdr:row>5</xdr:row>
      <xdr:rowOff>0</xdr:rowOff>
    </xdr:from>
    <xdr:to>
      <xdr:col>7</xdr:col>
      <xdr:colOff>400050</xdr:colOff>
      <xdr:row>6</xdr:row>
      <xdr:rowOff>47625</xdr:rowOff>
    </xdr:to>
    <xdr:sp macro="" textlink="">
      <xdr:nvSpPr>
        <xdr:cNvPr id="4899" name="Rectangle 803"/>
        <xdr:cNvSpPr>
          <a:spLocks noChangeArrowheads="1"/>
        </xdr:cNvSpPr>
      </xdr:nvSpPr>
      <xdr:spPr bwMode="auto">
        <a:xfrm>
          <a:off x="2686050" y="1428750"/>
          <a:ext cx="2362200" cy="238125"/>
        </a:xfrm>
        <a:prstGeom prst="rect">
          <a:avLst/>
        </a:prstGeom>
        <a:noFill/>
        <a:ln w="9525">
          <a:noFill/>
          <a:miter lim="800000"/>
          <a:headEnd/>
          <a:tailEnd/>
        </a:ln>
        <a:effectLst/>
      </xdr:spPr>
      <xdr:txBody>
        <a:bodyPr vertOverflow="clip" wrap="square" lIns="27432" tIns="27432" rIns="27432" bIns="0" anchor="t" upright="1"/>
        <a:lstStyle/>
        <a:p>
          <a:pPr algn="ctr" rtl="1">
            <a:defRPr sz="1000"/>
          </a:pPr>
          <a:r>
            <a:rPr lang="en-ZA" sz="1100" b="1" i="1" strike="noStrike">
              <a:solidFill>
                <a:srgbClr val="000000"/>
              </a:solidFill>
              <a:latin typeface="Calibri"/>
            </a:rPr>
            <a:t>Select the option you want to see:</a:t>
          </a:r>
        </a:p>
      </xdr:txBody>
    </xdr:sp>
    <xdr:clientData/>
  </xdr:twoCellAnchor>
  <xdr:twoCellAnchor>
    <xdr:from>
      <xdr:col>8</xdr:col>
      <xdr:colOff>295275</xdr:colOff>
      <xdr:row>11</xdr:row>
      <xdr:rowOff>0</xdr:rowOff>
    </xdr:from>
    <xdr:to>
      <xdr:col>11</xdr:col>
      <xdr:colOff>161925</xdr:colOff>
      <xdr:row>13</xdr:row>
      <xdr:rowOff>28575</xdr:rowOff>
    </xdr:to>
    <xdr:grpSp>
      <xdr:nvGrpSpPr>
        <xdr:cNvPr id="756783" name="Group 832">
          <a:hlinkClick xmlns:r="http://schemas.openxmlformats.org/officeDocument/2006/relationships" r:id="rId6"/>
        </xdr:cNvPr>
        <xdr:cNvGrpSpPr>
          <a:grpSpLocks/>
        </xdr:cNvGrpSpPr>
      </xdr:nvGrpSpPr>
      <xdr:grpSpPr bwMode="auto">
        <a:xfrm>
          <a:off x="5703358" y="2571750"/>
          <a:ext cx="1507067" cy="409575"/>
          <a:chOff x="599" y="262"/>
          <a:chExt cx="158" cy="43"/>
        </a:xfrm>
      </xdr:grpSpPr>
      <xdr:sp macro="" textlink="">
        <xdr:nvSpPr>
          <xdr:cNvPr id="7360" name="AutoShape 30"/>
          <xdr:cNvSpPr>
            <a:spLocks noChangeArrowheads="1"/>
          </xdr:cNvSpPr>
        </xdr:nvSpPr>
        <xdr:spPr bwMode="gray">
          <a:xfrm>
            <a:off x="599" y="262"/>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en-US"/>
          </a:p>
        </xdr:txBody>
      </xdr:sp>
      <xdr:grpSp>
        <xdr:nvGrpSpPr>
          <xdr:cNvPr id="756815" name="13 Grupo"/>
          <xdr:cNvGrpSpPr>
            <a:grpSpLocks/>
          </xdr:cNvGrpSpPr>
        </xdr:nvGrpSpPr>
        <xdr:grpSpPr bwMode="auto">
          <a:xfrm>
            <a:off x="603" y="267"/>
            <a:ext cx="151" cy="35"/>
            <a:chOff x="1104968" y="2771552"/>
            <a:chExt cx="3605494" cy="566957"/>
          </a:xfrm>
        </xdr:grpSpPr>
        <xdr:sp macro="" textlink="">
          <xdr:nvSpPr>
            <xdr:cNvPr id="4903" name="AutoShape 31"/>
            <xdr:cNvSpPr>
              <a:spLocks noChangeArrowheads="1"/>
            </xdr:cNvSpPr>
          </xdr:nvSpPr>
          <xdr:spPr bwMode="gray">
            <a:xfrm>
              <a:off x="1104968" y="2771552"/>
              <a:ext cx="3605494" cy="566957"/>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Recommendations</a:t>
              </a:r>
            </a:p>
          </xdr:txBody>
        </xdr:sp>
        <xdr:sp macro="" textlink="">
          <xdr:nvSpPr>
            <xdr:cNvPr id="756817" name="Freeform 32"/>
            <xdr:cNvSpPr>
              <a:spLocks/>
            </xdr:cNvSpPr>
          </xdr:nvSpPr>
          <xdr:spPr bwMode="gray">
            <a:xfrm>
              <a:off x="1159456" y="2809862"/>
              <a:ext cx="358092" cy="291066"/>
            </a:xfrm>
            <a:custGeom>
              <a:avLst/>
              <a:gdLst>
                <a:gd name="T0" fmla="*/ 2147483647 w 596"/>
                <a:gd name="T1" fmla="*/ 0 h 598"/>
                <a:gd name="T2" fmla="*/ 0 w 596"/>
                <a:gd name="T3" fmla="*/ 2147483647 h 598"/>
                <a:gd name="T4" fmla="*/ 0 w 596"/>
                <a:gd name="T5" fmla="*/ 2147483647 h 598"/>
                <a:gd name="T6" fmla="*/ 2147483647 w 596"/>
                <a:gd name="T7" fmla="*/ 2147483647 h 598"/>
                <a:gd name="T8" fmla="*/ 2147483647 w 596"/>
                <a:gd name="T9" fmla="*/ 0 h 598"/>
                <a:gd name="T10" fmla="*/ 2147483647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w="9525">
              <a:noFill/>
              <a:round/>
              <a:headEnd/>
              <a:tailEnd/>
            </a:ln>
          </xdr:spPr>
        </xdr:sp>
      </xdr:grpSp>
    </xdr:grpSp>
    <xdr:clientData/>
  </xdr:twoCellAnchor>
  <xdr:twoCellAnchor>
    <xdr:from>
      <xdr:col>1</xdr:col>
      <xdr:colOff>247650</xdr:colOff>
      <xdr:row>7</xdr:row>
      <xdr:rowOff>85725</xdr:rowOff>
    </xdr:from>
    <xdr:to>
      <xdr:col>4</xdr:col>
      <xdr:colOff>104775</xdr:colOff>
      <xdr:row>18</xdr:row>
      <xdr:rowOff>114300</xdr:rowOff>
    </xdr:to>
    <xdr:grpSp>
      <xdr:nvGrpSpPr>
        <xdr:cNvPr id="756784" name="Group 830"/>
        <xdr:cNvGrpSpPr>
          <a:grpSpLocks/>
        </xdr:cNvGrpSpPr>
      </xdr:nvGrpSpPr>
      <xdr:grpSpPr bwMode="auto">
        <a:xfrm>
          <a:off x="321733" y="1895475"/>
          <a:ext cx="2143125" cy="2124075"/>
          <a:chOff x="32" y="188"/>
          <a:chExt cx="225" cy="225"/>
        </a:xfrm>
      </xdr:grpSpPr>
      <xdr:sp macro="" textlink="">
        <xdr:nvSpPr>
          <xdr:cNvPr id="756812" name="AutoShape 31"/>
          <xdr:cNvSpPr>
            <a:spLocks noChangeArrowheads="1"/>
          </xdr:cNvSpPr>
        </xdr:nvSpPr>
        <xdr:spPr bwMode="gray">
          <a:xfrm>
            <a:off x="32" y="188"/>
            <a:ext cx="225" cy="225"/>
          </a:xfrm>
          <a:prstGeom prst="roundRect">
            <a:avLst>
              <a:gd name="adj" fmla="val 11921"/>
            </a:avLst>
          </a:prstGeom>
          <a:gradFill rotWithShape="1">
            <a:gsLst>
              <a:gs pos="0">
                <a:srgbClr val="87AFD3"/>
              </a:gs>
              <a:gs pos="100000">
                <a:srgbClr val="4C7BB4"/>
              </a:gs>
            </a:gsLst>
            <a:lin ang="5400000" scaled="1"/>
          </a:gradFill>
          <a:ln w="9525">
            <a:solidFill>
              <a:srgbClr val="FEFEFE"/>
            </a:solidFill>
            <a:round/>
            <a:headEnd/>
            <a:tailEnd/>
          </a:ln>
        </xdr:spPr>
      </xdr:sp>
      <xdr:sp macro="" textlink="">
        <xdr:nvSpPr>
          <xdr:cNvPr id="4913" name="Freeform 32"/>
          <xdr:cNvSpPr>
            <a:spLocks/>
          </xdr:cNvSpPr>
        </xdr:nvSpPr>
        <xdr:spPr bwMode="gray">
          <a:xfrm>
            <a:off x="42" y="197"/>
            <a:ext cx="50" cy="33"/>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9FBADB"/>
              </a:gs>
              <a:gs pos="50000">
                <a:srgbClr val="4F81BD">
                  <a:alpha val="0"/>
                </a:srgbClr>
              </a:gs>
              <a:gs pos="100000">
                <a:srgbClr val="9FBADB"/>
              </a:gs>
            </a:gsLst>
            <a:lin ang="2700000" scaled="1"/>
          </a:gradFill>
          <a:ln w="9525">
            <a:noFill/>
            <a:round/>
            <a:headEnd/>
            <a:tailEnd/>
          </a:ln>
        </xdr:spPr>
        <xdr:txBody>
          <a:bodyPr/>
          <a:lstStyle/>
          <a:p>
            <a:endParaRPr lang="en-US"/>
          </a:p>
        </xdr:txBody>
      </xdr:sp>
    </xdr:grpSp>
    <xdr:clientData/>
  </xdr:twoCellAnchor>
  <xdr:twoCellAnchor>
    <xdr:from>
      <xdr:col>8</xdr:col>
      <xdr:colOff>285750</xdr:colOff>
      <xdr:row>14</xdr:row>
      <xdr:rowOff>57150</xdr:rowOff>
    </xdr:from>
    <xdr:to>
      <xdr:col>11</xdr:col>
      <xdr:colOff>152400</xdr:colOff>
      <xdr:row>16</xdr:row>
      <xdr:rowOff>85725</xdr:rowOff>
    </xdr:to>
    <xdr:grpSp>
      <xdr:nvGrpSpPr>
        <xdr:cNvPr id="756785" name="Group 826"/>
        <xdr:cNvGrpSpPr>
          <a:grpSpLocks/>
        </xdr:cNvGrpSpPr>
      </xdr:nvGrpSpPr>
      <xdr:grpSpPr bwMode="auto">
        <a:xfrm>
          <a:off x="5693833" y="3200400"/>
          <a:ext cx="1507067" cy="409575"/>
          <a:chOff x="578" y="328"/>
          <a:chExt cx="158" cy="43"/>
        </a:xfrm>
      </xdr:grpSpPr>
      <xdr:sp macro="" textlink="">
        <xdr:nvSpPr>
          <xdr:cNvPr id="7354" name="AutoShape 30"/>
          <xdr:cNvSpPr>
            <a:spLocks noChangeArrowheads="1"/>
          </xdr:cNvSpPr>
        </xdr:nvSpPr>
        <xdr:spPr bwMode="gray">
          <a:xfrm>
            <a:off x="578" y="328"/>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en-US"/>
          </a:p>
        </xdr:txBody>
      </xdr:sp>
      <xdr:grpSp>
        <xdr:nvGrpSpPr>
          <xdr:cNvPr id="756809" name="Group 823"/>
          <xdr:cNvGrpSpPr>
            <a:grpSpLocks/>
          </xdr:cNvGrpSpPr>
        </xdr:nvGrpSpPr>
        <xdr:grpSpPr bwMode="auto">
          <a:xfrm>
            <a:off x="581" y="333"/>
            <a:ext cx="151" cy="35"/>
            <a:chOff x="582" y="333"/>
            <a:chExt cx="151" cy="35"/>
          </a:xfrm>
        </xdr:grpSpPr>
        <xdr:sp macro="" textlink="">
          <xdr:nvSpPr>
            <xdr:cNvPr id="4908" name="AutoShape 31">
              <a:hlinkClick xmlns:r="http://schemas.openxmlformats.org/officeDocument/2006/relationships" r:id="rId7"/>
            </xdr:cNvPr>
            <xdr:cNvSpPr>
              <a:spLocks noChangeArrowheads="1"/>
            </xdr:cNvSpPr>
          </xdr:nvSpPr>
          <xdr:spPr bwMode="gray">
            <a:xfrm>
              <a:off x="582" y="333"/>
              <a:ext cx="151" cy="35"/>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Actions</a:t>
              </a:r>
            </a:p>
          </xdr:txBody>
        </xdr:sp>
        <xdr:sp macro="" textlink="">
          <xdr:nvSpPr>
            <xdr:cNvPr id="756811" name="Freeform 32"/>
            <xdr:cNvSpPr>
              <a:spLocks/>
            </xdr:cNvSpPr>
          </xdr:nvSpPr>
          <xdr:spPr bwMode="gray">
            <a:xfrm>
              <a:off x="584" y="335"/>
              <a:ext cx="15" cy="18"/>
            </a:xfrm>
            <a:custGeom>
              <a:avLst/>
              <a:gdLst>
                <a:gd name="T0" fmla="*/ 0 w 596"/>
                <a:gd name="T1" fmla="*/ 0 h 598"/>
                <a:gd name="T2" fmla="*/ 0 w 596"/>
                <a:gd name="T3" fmla="*/ 0 h 598"/>
                <a:gd name="T4" fmla="*/ 0 w 596"/>
                <a:gd name="T5" fmla="*/ 0 h 598"/>
                <a:gd name="T6" fmla="*/ 0 w 596"/>
                <a:gd name="T7" fmla="*/ 0 h 598"/>
                <a:gd name="T8" fmla="*/ 0 w 596"/>
                <a:gd name="T9" fmla="*/ 0 h 598"/>
                <a:gd name="T10" fmla="*/ 0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w="9525">
              <a:noFill/>
              <a:round/>
              <a:headEnd/>
              <a:tailEnd/>
            </a:ln>
          </xdr:spPr>
        </xdr:sp>
      </xdr:grpSp>
    </xdr:grpSp>
    <xdr:clientData/>
  </xdr:twoCellAnchor>
  <xdr:twoCellAnchor>
    <xdr:from>
      <xdr:col>1</xdr:col>
      <xdr:colOff>514350</xdr:colOff>
      <xdr:row>15</xdr:row>
      <xdr:rowOff>133350</xdr:rowOff>
    </xdr:from>
    <xdr:to>
      <xdr:col>3</xdr:col>
      <xdr:colOff>495300</xdr:colOff>
      <xdr:row>17</xdr:row>
      <xdr:rowOff>95250</xdr:rowOff>
    </xdr:to>
    <xdr:grpSp>
      <xdr:nvGrpSpPr>
        <xdr:cNvPr id="756786" name="Group 831">
          <a:hlinkClick xmlns:r="http://schemas.openxmlformats.org/officeDocument/2006/relationships" r:id="rId8"/>
        </xdr:cNvPr>
        <xdr:cNvGrpSpPr>
          <a:grpSpLocks/>
        </xdr:cNvGrpSpPr>
      </xdr:nvGrpSpPr>
      <xdr:grpSpPr bwMode="auto">
        <a:xfrm>
          <a:off x="588433" y="3467100"/>
          <a:ext cx="1504950" cy="342900"/>
          <a:chOff x="56" y="259"/>
          <a:chExt cx="158" cy="40"/>
        </a:xfrm>
      </xdr:grpSpPr>
      <xdr:sp macro="" textlink="">
        <xdr:nvSpPr>
          <xdr:cNvPr id="7350" name="AutoShape 30"/>
          <xdr:cNvSpPr>
            <a:spLocks noChangeArrowheads="1"/>
          </xdr:cNvSpPr>
        </xdr:nvSpPr>
        <xdr:spPr bwMode="gray">
          <a:xfrm>
            <a:off x="56" y="259"/>
            <a:ext cx="158" cy="40"/>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en-US"/>
          </a:p>
        </xdr:txBody>
      </xdr:sp>
      <xdr:grpSp>
        <xdr:nvGrpSpPr>
          <xdr:cNvPr id="756805" name="11 Grupo"/>
          <xdr:cNvGrpSpPr>
            <a:grpSpLocks/>
          </xdr:cNvGrpSpPr>
        </xdr:nvGrpSpPr>
        <xdr:grpSpPr bwMode="auto">
          <a:xfrm>
            <a:off x="60" y="263"/>
            <a:ext cx="151" cy="32"/>
            <a:chOff x="1104968" y="2771584"/>
            <a:chExt cx="3605494" cy="566957"/>
          </a:xfrm>
        </xdr:grpSpPr>
        <xdr:sp macro="" textlink="">
          <xdr:nvSpPr>
            <xdr:cNvPr id="9" name="AutoShape 31"/>
            <xdr:cNvSpPr>
              <a:spLocks noChangeArrowheads="1"/>
            </xdr:cNvSpPr>
          </xdr:nvSpPr>
          <xdr:spPr bwMode="gray">
            <a:xfrm>
              <a:off x="1104968" y="2779458"/>
              <a:ext cx="3605494" cy="551208"/>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Grant Detail</a:t>
              </a:r>
            </a:p>
          </xdr:txBody>
        </xdr:sp>
        <xdr:sp macro="" textlink="">
          <xdr:nvSpPr>
            <xdr:cNvPr id="10" name="Freeform 32"/>
            <xdr:cNvSpPr>
              <a:spLocks/>
            </xdr:cNvSpPr>
          </xdr:nvSpPr>
          <xdr:spPr bwMode="gray">
            <a:xfrm>
              <a:off x="1152723" y="2818830"/>
              <a:ext cx="358162" cy="275604"/>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514350</xdr:colOff>
      <xdr:row>10</xdr:row>
      <xdr:rowOff>28575</xdr:rowOff>
    </xdr:from>
    <xdr:to>
      <xdr:col>3</xdr:col>
      <xdr:colOff>495300</xdr:colOff>
      <xdr:row>12</xdr:row>
      <xdr:rowOff>19050</xdr:rowOff>
    </xdr:to>
    <xdr:grpSp>
      <xdr:nvGrpSpPr>
        <xdr:cNvPr id="756787" name="37 Grupo">
          <a:hlinkClick xmlns:r="http://schemas.openxmlformats.org/officeDocument/2006/relationships" r:id="rId9"/>
        </xdr:cNvPr>
        <xdr:cNvGrpSpPr>
          <a:grpSpLocks/>
        </xdr:cNvGrpSpPr>
      </xdr:nvGrpSpPr>
      <xdr:grpSpPr bwMode="auto">
        <a:xfrm>
          <a:off x="588433" y="2409825"/>
          <a:ext cx="1504950" cy="371475"/>
          <a:chOff x="1343025" y="2428876"/>
          <a:chExt cx="3240982" cy="617274"/>
        </a:xfrm>
      </xdr:grpSpPr>
      <xdr:sp macro="" textlink="">
        <xdr:nvSpPr>
          <xdr:cNvPr id="7346" name="AutoShape 30"/>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en-US"/>
          </a:p>
        </xdr:txBody>
      </xdr:sp>
      <xdr:grpSp>
        <xdr:nvGrpSpPr>
          <xdr:cNvPr id="756801" name="13 Grupo"/>
          <xdr:cNvGrpSpPr>
            <a:grpSpLocks/>
          </xdr:cNvGrpSpPr>
        </xdr:nvGrpSpPr>
        <xdr:grpSpPr bwMode="auto">
          <a:xfrm>
            <a:off x="1419283" y="2495353"/>
            <a:ext cx="3097998" cy="503316"/>
            <a:chOff x="1104968" y="2771552"/>
            <a:chExt cx="3605494" cy="566957"/>
          </a:xfrm>
        </xdr:grpSpPr>
        <xdr:sp macro="" textlink="">
          <xdr:nvSpPr>
            <xdr:cNvPr id="3" name="AutoShape 31"/>
            <xdr:cNvSpPr>
              <a:spLocks noChangeArrowheads="1"/>
            </xdr:cNvSpPr>
          </xdr:nvSpPr>
          <xdr:spPr bwMode="gray">
            <a:xfrm>
              <a:off x="1111710" y="2767984"/>
              <a:ext cx="3604792" cy="570523"/>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p>
              <a:pPr algn="ctr" rtl="1">
                <a:defRPr sz="1000"/>
              </a:pPr>
              <a:r>
                <a:rPr lang="en-ZA" sz="1000" b="0" i="0" strike="noStrike">
                  <a:solidFill>
                    <a:srgbClr val="FFFFFF"/>
                  </a:solidFill>
                  <a:latin typeface="Arial"/>
                  <a:cs typeface="Arial"/>
                </a:rPr>
                <a:t>List of Indicators</a:t>
              </a:r>
            </a:p>
          </xdr:txBody>
        </xdr:sp>
        <xdr:sp macro="" textlink="">
          <xdr:nvSpPr>
            <xdr:cNvPr id="4" name="Freeform 32"/>
            <xdr:cNvSpPr>
              <a:spLocks/>
            </xdr:cNvSpPr>
          </xdr:nvSpPr>
          <xdr:spPr bwMode="gray">
            <a:xfrm>
              <a:off x="1159456" y="2803642"/>
              <a:ext cx="358092" cy="303090"/>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514350</xdr:colOff>
      <xdr:row>12</xdr:row>
      <xdr:rowOff>180975</xdr:rowOff>
    </xdr:from>
    <xdr:to>
      <xdr:col>3</xdr:col>
      <xdr:colOff>495300</xdr:colOff>
      <xdr:row>14</xdr:row>
      <xdr:rowOff>171450</xdr:rowOff>
    </xdr:to>
    <xdr:grpSp>
      <xdr:nvGrpSpPr>
        <xdr:cNvPr id="756788" name="37 Grupo">
          <a:hlinkClick xmlns:r="http://schemas.openxmlformats.org/officeDocument/2006/relationships" r:id="rId10"/>
        </xdr:cNvPr>
        <xdr:cNvGrpSpPr>
          <a:grpSpLocks/>
        </xdr:cNvGrpSpPr>
      </xdr:nvGrpSpPr>
      <xdr:grpSpPr bwMode="auto">
        <a:xfrm>
          <a:off x="588433" y="2943225"/>
          <a:ext cx="1504950" cy="371475"/>
          <a:chOff x="1343025" y="2428876"/>
          <a:chExt cx="3240982" cy="617274"/>
        </a:xfrm>
      </xdr:grpSpPr>
      <xdr:sp macro="" textlink="">
        <xdr:nvSpPr>
          <xdr:cNvPr id="7342" name="AutoShape 30"/>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en-US"/>
          </a:p>
        </xdr:txBody>
      </xdr:sp>
      <xdr:grpSp>
        <xdr:nvGrpSpPr>
          <xdr:cNvPr id="756797" name="13 Grupo"/>
          <xdr:cNvGrpSpPr>
            <a:grpSpLocks/>
          </xdr:cNvGrpSpPr>
        </xdr:nvGrpSpPr>
        <xdr:grpSpPr bwMode="auto">
          <a:xfrm>
            <a:off x="1419283" y="2495353"/>
            <a:ext cx="3097998" cy="503316"/>
            <a:chOff x="1104968" y="2771552"/>
            <a:chExt cx="3605494" cy="566957"/>
          </a:xfrm>
        </xdr:grpSpPr>
        <xdr:sp macro="" textlink="">
          <xdr:nvSpPr>
            <xdr:cNvPr id="14" name="AutoShape 31"/>
            <xdr:cNvSpPr>
              <a:spLocks noChangeArrowheads="1"/>
            </xdr:cNvSpPr>
          </xdr:nvSpPr>
          <xdr:spPr bwMode="gray">
            <a:xfrm>
              <a:off x="1111710" y="2767984"/>
              <a:ext cx="3604792" cy="570523"/>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Data Entry</a:t>
              </a:r>
            </a:p>
          </xdr:txBody>
        </xdr:sp>
        <xdr:sp macro="" textlink="">
          <xdr:nvSpPr>
            <xdr:cNvPr id="15" name="Freeform 32"/>
            <xdr:cNvSpPr>
              <a:spLocks/>
            </xdr:cNvSpPr>
          </xdr:nvSpPr>
          <xdr:spPr bwMode="gray">
            <a:xfrm>
              <a:off x="1159456" y="2803642"/>
              <a:ext cx="358092" cy="303090"/>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editAs="oneCell">
    <xdr:from>
      <xdr:col>1</xdr:col>
      <xdr:colOff>257175</xdr:colOff>
      <xdr:row>7</xdr:row>
      <xdr:rowOff>66675</xdr:rowOff>
    </xdr:from>
    <xdr:to>
      <xdr:col>4</xdr:col>
      <xdr:colOff>104775</xdr:colOff>
      <xdr:row>9</xdr:row>
      <xdr:rowOff>133350</xdr:rowOff>
    </xdr:to>
    <xdr:pic>
      <xdr:nvPicPr>
        <xdr:cNvPr id="756789" name="Picture 2012"/>
        <xdr:cNvPicPr>
          <a:picLocks noChangeAspect="1" noChangeArrowheads="1"/>
        </xdr:cNvPicPr>
      </xdr:nvPicPr>
      <xdr:blipFill>
        <a:blip xmlns:r="http://schemas.openxmlformats.org/officeDocument/2006/relationships" r:embed="rId11" cstate="print"/>
        <a:srcRect/>
        <a:stretch>
          <a:fillRect/>
        </a:stretch>
      </xdr:blipFill>
      <xdr:spPr bwMode="auto">
        <a:xfrm>
          <a:off x="333375" y="1876425"/>
          <a:ext cx="2133600" cy="447675"/>
        </a:xfrm>
        <a:prstGeom prst="rect">
          <a:avLst/>
        </a:prstGeom>
        <a:noFill/>
        <a:ln w="9525">
          <a:noFill/>
          <a:miter lim="800000"/>
          <a:headEnd/>
          <a:tailEnd/>
        </a:ln>
      </xdr:spPr>
    </xdr:pic>
    <xdr:clientData/>
  </xdr:twoCellAnchor>
  <xdr:twoCellAnchor editAs="oneCell">
    <xdr:from>
      <xdr:col>1</xdr:col>
      <xdr:colOff>352425</xdr:colOff>
      <xdr:row>7</xdr:row>
      <xdr:rowOff>85725</xdr:rowOff>
    </xdr:from>
    <xdr:to>
      <xdr:col>4</xdr:col>
      <xdr:colOff>57150</xdr:colOff>
      <xdr:row>9</xdr:row>
      <xdr:rowOff>95250</xdr:rowOff>
    </xdr:to>
    <xdr:sp macro="" textlink="">
      <xdr:nvSpPr>
        <xdr:cNvPr id="955357" name="Text Box 2013"/>
        <xdr:cNvSpPr txBox="1">
          <a:spLocks noChangeArrowheads="1"/>
        </xdr:cNvSpPr>
      </xdr:nvSpPr>
      <xdr:spPr bwMode="auto">
        <a:xfrm>
          <a:off x="428625" y="1895475"/>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a:cs typeface="Arial"/>
            </a:rPr>
            <a:t>Grant Information</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twoCellAnchor editAs="oneCell">
    <xdr:from>
      <xdr:col>4</xdr:col>
      <xdr:colOff>247650</xdr:colOff>
      <xdr:row>7</xdr:row>
      <xdr:rowOff>66675</xdr:rowOff>
    </xdr:from>
    <xdr:to>
      <xdr:col>7</xdr:col>
      <xdr:colOff>561975</xdr:colOff>
      <xdr:row>9</xdr:row>
      <xdr:rowOff>133350</xdr:rowOff>
    </xdr:to>
    <xdr:pic>
      <xdr:nvPicPr>
        <xdr:cNvPr id="756791" name="Picture 2016"/>
        <xdr:cNvPicPr>
          <a:picLocks noChangeAspect="1" noChangeArrowheads="1"/>
        </xdr:cNvPicPr>
      </xdr:nvPicPr>
      <xdr:blipFill>
        <a:blip xmlns:r="http://schemas.openxmlformats.org/officeDocument/2006/relationships" r:embed="rId12" cstate="print"/>
        <a:srcRect/>
        <a:stretch>
          <a:fillRect/>
        </a:stretch>
      </xdr:blipFill>
      <xdr:spPr bwMode="auto">
        <a:xfrm>
          <a:off x="2609850" y="1876425"/>
          <a:ext cx="2600325" cy="447675"/>
        </a:xfrm>
        <a:prstGeom prst="rect">
          <a:avLst/>
        </a:prstGeom>
        <a:noFill/>
        <a:ln w="9525">
          <a:noFill/>
          <a:miter lim="800000"/>
          <a:headEnd/>
          <a:tailEnd/>
        </a:ln>
      </xdr:spPr>
    </xdr:pic>
    <xdr:clientData/>
  </xdr:twoCellAnchor>
  <xdr:twoCellAnchor editAs="oneCell">
    <xdr:from>
      <xdr:col>4</xdr:col>
      <xdr:colOff>590550</xdr:colOff>
      <xdr:row>7</xdr:row>
      <xdr:rowOff>95250</xdr:rowOff>
    </xdr:from>
    <xdr:to>
      <xdr:col>7</xdr:col>
      <xdr:colOff>295275</xdr:colOff>
      <xdr:row>9</xdr:row>
      <xdr:rowOff>104775</xdr:rowOff>
    </xdr:to>
    <xdr:sp macro="" textlink="">
      <xdr:nvSpPr>
        <xdr:cNvPr id="955361" name="Text Box 2017"/>
        <xdr:cNvSpPr txBox="1">
          <a:spLocks noChangeArrowheads="1"/>
        </xdr:cNvSpPr>
      </xdr:nvSpPr>
      <xdr:spPr bwMode="auto">
        <a:xfrm>
          <a:off x="29527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a:cs typeface="Arial"/>
            </a:rPr>
            <a:t>Indicators</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twoCellAnchor editAs="oneCell">
    <xdr:from>
      <xdr:col>7</xdr:col>
      <xdr:colOff>733425</xdr:colOff>
      <xdr:row>7</xdr:row>
      <xdr:rowOff>76200</xdr:rowOff>
    </xdr:from>
    <xdr:to>
      <xdr:col>11</xdr:col>
      <xdr:colOff>495300</xdr:colOff>
      <xdr:row>9</xdr:row>
      <xdr:rowOff>133350</xdr:rowOff>
    </xdr:to>
    <xdr:pic>
      <xdr:nvPicPr>
        <xdr:cNvPr id="756793" name="Picture 2018"/>
        <xdr:cNvPicPr>
          <a:picLocks noChangeAspect="1" noChangeArrowheads="1"/>
        </xdr:cNvPicPr>
      </xdr:nvPicPr>
      <xdr:blipFill>
        <a:blip xmlns:r="http://schemas.openxmlformats.org/officeDocument/2006/relationships" r:embed="rId13" cstate="print"/>
        <a:srcRect/>
        <a:stretch>
          <a:fillRect/>
        </a:stretch>
      </xdr:blipFill>
      <xdr:spPr bwMode="auto">
        <a:xfrm>
          <a:off x="5381625" y="1885950"/>
          <a:ext cx="2162175" cy="438150"/>
        </a:xfrm>
        <a:prstGeom prst="rect">
          <a:avLst/>
        </a:prstGeom>
        <a:noFill/>
        <a:ln w="9525">
          <a:noFill/>
          <a:miter lim="800000"/>
          <a:headEnd/>
          <a:tailEnd/>
        </a:ln>
      </xdr:spPr>
    </xdr:pic>
    <xdr:clientData/>
  </xdr:twoCellAnchor>
  <xdr:twoCellAnchor editAs="oneCell">
    <xdr:from>
      <xdr:col>8</xdr:col>
      <xdr:colOff>57150</xdr:colOff>
      <xdr:row>7</xdr:row>
      <xdr:rowOff>95250</xdr:rowOff>
    </xdr:from>
    <xdr:to>
      <xdr:col>11</xdr:col>
      <xdr:colOff>409575</xdr:colOff>
      <xdr:row>9</xdr:row>
      <xdr:rowOff>104775</xdr:rowOff>
    </xdr:to>
    <xdr:sp macro="" textlink="">
      <xdr:nvSpPr>
        <xdr:cNvPr id="955363" name="Text Box 2019"/>
        <xdr:cNvSpPr txBox="1">
          <a:spLocks noChangeArrowheads="1"/>
        </xdr:cNvSpPr>
      </xdr:nvSpPr>
      <xdr:spPr bwMode="auto">
        <a:xfrm>
          <a:off x="54673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a:cs typeface="Arial"/>
            </a:rPr>
            <a:t>Reports</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twoCellAnchor editAs="oneCell">
    <xdr:from>
      <xdr:col>1</xdr:col>
      <xdr:colOff>9525</xdr:colOff>
      <xdr:row>1</xdr:row>
      <xdr:rowOff>9525</xdr:rowOff>
    </xdr:from>
    <xdr:to>
      <xdr:col>2</xdr:col>
      <xdr:colOff>133350</xdr:colOff>
      <xdr:row>2</xdr:row>
      <xdr:rowOff>0</xdr:rowOff>
    </xdr:to>
    <xdr:pic>
      <xdr:nvPicPr>
        <xdr:cNvPr id="756795" name="Picture 17" descr="http://www.crwflags.com/fotw/images/g/gh.gif"/>
        <xdr:cNvPicPr>
          <a:picLocks noChangeAspect="1" noChangeArrowheads="1"/>
        </xdr:cNvPicPr>
      </xdr:nvPicPr>
      <xdr:blipFill>
        <a:blip xmlns:r="http://schemas.openxmlformats.org/officeDocument/2006/relationships" r:embed="rId14" cstate="print"/>
        <a:srcRect/>
        <a:stretch>
          <a:fillRect/>
        </a:stretch>
      </xdr:blipFill>
      <xdr:spPr bwMode="auto">
        <a:xfrm>
          <a:off x="85725" y="333375"/>
          <a:ext cx="885825" cy="44767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142875</xdr:colOff>
      <xdr:row>1</xdr:row>
      <xdr:rowOff>66675</xdr:rowOff>
    </xdr:from>
    <xdr:to>
      <xdr:col>1</xdr:col>
      <xdr:colOff>123825</xdr:colOff>
      <xdr:row>4</xdr:row>
      <xdr:rowOff>85725</xdr:rowOff>
    </xdr:to>
    <xdr:pic>
      <xdr:nvPicPr>
        <xdr:cNvPr id="27710" name="Picture 2" descr="C:\Documents and Settings\Administrator\My Documents\My Pictures\Prueba.jpg"/>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142875" y="257175"/>
          <a:ext cx="742950" cy="9906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0</xdr:row>
      <xdr:rowOff>28575</xdr:rowOff>
    </xdr:from>
    <xdr:to>
      <xdr:col>1</xdr:col>
      <xdr:colOff>1123950</xdr:colOff>
      <xdr:row>1</xdr:row>
      <xdr:rowOff>0</xdr:rowOff>
    </xdr:to>
    <xdr:sp macro="" textlink="">
      <xdr:nvSpPr>
        <xdr:cNvPr id="54346" name="AutoShape 50">
          <a:hlinkClick xmlns:r="http://schemas.openxmlformats.org/officeDocument/2006/relationships" r:id="rId1"/>
        </xdr:cNvPr>
        <xdr:cNvSpPr>
          <a:spLocks noChangeArrowheads="1"/>
        </xdr:cNvSpPr>
      </xdr:nvSpPr>
      <xdr:spPr bwMode="auto">
        <a:xfrm>
          <a:off x="28575" y="28575"/>
          <a:ext cx="1276350" cy="409575"/>
        </a:xfrm>
        <a:prstGeom prst="leftArrow">
          <a:avLst>
            <a:gd name="adj1" fmla="val 50000"/>
            <a:gd name="adj2" fmla="val 7790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0</xdr:row>
      <xdr:rowOff>0</xdr:rowOff>
    </xdr:from>
    <xdr:to>
      <xdr:col>1</xdr:col>
      <xdr:colOff>942975</xdr:colOff>
      <xdr:row>1</xdr:row>
      <xdr:rowOff>9525</xdr:rowOff>
    </xdr:to>
    <xdr:sp macro="" textlink="">
      <xdr:nvSpPr>
        <xdr:cNvPr id="6445" name="AutoShape 50">
          <a:hlinkClick xmlns:r="http://schemas.openxmlformats.org/officeDocument/2006/relationships" r:id="rId1"/>
        </xdr:cNvPr>
        <xdr:cNvSpPr>
          <a:spLocks noChangeArrowheads="1"/>
        </xdr:cNvSpPr>
      </xdr:nvSpPr>
      <xdr:spPr bwMode="auto">
        <a:xfrm>
          <a:off x="47625" y="0"/>
          <a:ext cx="1076325" cy="381000"/>
        </a:xfrm>
        <a:prstGeom prst="leftArrow">
          <a:avLst>
            <a:gd name="adj1" fmla="val 50000"/>
            <a:gd name="adj2" fmla="val 70625"/>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1000125</xdr:colOff>
      <xdr:row>34</xdr:row>
      <xdr:rowOff>133350</xdr:rowOff>
    </xdr:from>
    <xdr:to>
      <xdr:col>6</xdr:col>
      <xdr:colOff>1000125</xdr:colOff>
      <xdr:row>49</xdr:row>
      <xdr:rowOff>161925</xdr:rowOff>
    </xdr:to>
    <xdr:cxnSp macro="">
      <xdr:nvCxnSpPr>
        <xdr:cNvPr id="6862" name="AutoShape 100"/>
        <xdr:cNvCxnSpPr>
          <a:cxnSpLocks noChangeShapeType="1"/>
        </xdr:cNvCxnSpPr>
      </xdr:nvCxnSpPr>
      <xdr:spPr bwMode="auto">
        <a:xfrm rot="5400000">
          <a:off x="7786687" y="6929438"/>
          <a:ext cx="3076575" cy="0"/>
        </a:xfrm>
        <a:prstGeom prst="straightConnector1">
          <a:avLst/>
        </a:prstGeom>
        <a:noFill/>
        <a:ln w="9525">
          <a:solidFill>
            <a:srgbClr val="000000"/>
          </a:solidFill>
          <a:round/>
          <a:headEnd type="triangle" w="med" len="med"/>
          <a:tailEnd type="triangle" w="med" len="med"/>
        </a:ln>
      </xdr:spPr>
    </xdr:cxnSp>
    <xdr:clientData/>
  </xdr:twoCellAnchor>
  <xdr:twoCellAnchor>
    <xdr:from>
      <xdr:col>4</xdr:col>
      <xdr:colOff>0</xdr:colOff>
      <xdr:row>50</xdr:row>
      <xdr:rowOff>104775</xdr:rowOff>
    </xdr:from>
    <xdr:to>
      <xdr:col>4</xdr:col>
      <xdr:colOff>1057275</xdr:colOff>
      <xdr:row>50</xdr:row>
      <xdr:rowOff>104775</xdr:rowOff>
    </xdr:to>
    <xdr:cxnSp macro="">
      <xdr:nvCxnSpPr>
        <xdr:cNvPr id="6863" name="AutoShape 101"/>
        <xdr:cNvCxnSpPr>
          <a:cxnSpLocks noChangeShapeType="1"/>
        </xdr:cNvCxnSpPr>
      </xdr:nvCxnSpPr>
      <xdr:spPr bwMode="auto">
        <a:xfrm rot="10800000">
          <a:off x="6067425" y="8610600"/>
          <a:ext cx="1057275" cy="0"/>
        </a:xfrm>
        <a:prstGeom prst="straightConnector1">
          <a:avLst/>
        </a:prstGeom>
        <a:noFill/>
        <a:ln w="9525">
          <a:solidFill>
            <a:srgbClr val="000000"/>
          </a:solidFill>
          <a:round/>
          <a:headEnd type="triangle" w="med" len="med"/>
          <a:tailEnd type="triangle" w="med" len="med"/>
        </a:ln>
      </xdr:spPr>
    </xdr:cxnSp>
    <xdr:clientData/>
  </xdr:twoCellAnchor>
  <xdr:twoCellAnchor editAs="oneCell">
    <xdr:from>
      <xdr:col>1</xdr:col>
      <xdr:colOff>66675</xdr:colOff>
      <xdr:row>3</xdr:row>
      <xdr:rowOff>19050</xdr:rowOff>
    </xdr:from>
    <xdr:to>
      <xdr:col>1</xdr:col>
      <xdr:colOff>781050</xdr:colOff>
      <xdr:row>4</xdr:row>
      <xdr:rowOff>188119</xdr:rowOff>
    </xdr:to>
    <xdr:pic>
      <xdr:nvPicPr>
        <xdr:cNvPr id="6864" name="Picture 17" descr="http://www.crwflags.com/fotw/images/g/gh.gif"/>
        <xdr:cNvPicPr>
          <a:picLocks noChangeAspect="1" noChangeArrowheads="1"/>
        </xdr:cNvPicPr>
      </xdr:nvPicPr>
      <xdr:blipFill>
        <a:blip xmlns:r="http://schemas.openxmlformats.org/officeDocument/2006/relationships" r:embed="rId2" cstate="print"/>
        <a:srcRect/>
        <a:stretch>
          <a:fillRect/>
        </a:stretch>
      </xdr:blipFill>
      <xdr:spPr bwMode="auto">
        <a:xfrm>
          <a:off x="247650" y="647700"/>
          <a:ext cx="714375" cy="36195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200025</xdr:colOff>
      <xdr:row>2</xdr:row>
      <xdr:rowOff>0</xdr:rowOff>
    </xdr:from>
    <xdr:to>
      <xdr:col>0</xdr:col>
      <xdr:colOff>1181100</xdr:colOff>
      <xdr:row>2</xdr:row>
      <xdr:rowOff>447675</xdr:rowOff>
    </xdr:to>
    <xdr:sp macro="" textlink="">
      <xdr:nvSpPr>
        <xdr:cNvPr id="3189" name="Rectangle 117">
          <a:hlinkClick xmlns:r="http://schemas.openxmlformats.org/officeDocument/2006/relationships" r:id="rId1"/>
        </xdr:cNvPr>
        <xdr:cNvSpPr>
          <a:spLocks noChangeArrowheads="1"/>
        </xdr:cNvSpPr>
      </xdr:nvSpPr>
      <xdr:spPr bwMode="auto">
        <a:xfrm>
          <a:off x="200025" y="590550"/>
          <a:ext cx="981075" cy="4476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defRPr sz="1000"/>
          </a:pPr>
          <a:r>
            <a:rPr lang="en-ZA" sz="900" b="0" i="0" strike="noStrike">
              <a:solidFill>
                <a:srgbClr val="000000"/>
              </a:solidFill>
              <a:latin typeface="Calibri"/>
            </a:rPr>
            <a:t>http://www.crwflags.com/fotw/flags/country.html</a:t>
          </a:r>
        </a:p>
      </xdr:txBody>
    </xdr:sp>
    <xdr:clientData/>
  </xdr:twoCellAnchor>
  <xdr:twoCellAnchor>
    <xdr:from>
      <xdr:col>0</xdr:col>
      <xdr:colOff>38100</xdr:colOff>
      <xdr:row>0</xdr:row>
      <xdr:rowOff>19050</xdr:rowOff>
    </xdr:from>
    <xdr:to>
      <xdr:col>0</xdr:col>
      <xdr:colOff>1114425</xdr:colOff>
      <xdr:row>1</xdr:row>
      <xdr:rowOff>85725</xdr:rowOff>
    </xdr:to>
    <xdr:sp macro="" textlink="">
      <xdr:nvSpPr>
        <xdr:cNvPr id="3455" name="AutoShape 50">
          <a:hlinkClick xmlns:r="http://schemas.openxmlformats.org/officeDocument/2006/relationships" r:id="rId2"/>
        </xdr:cNvPr>
        <xdr:cNvSpPr>
          <a:spLocks noChangeArrowheads="1"/>
        </xdr:cNvSpPr>
      </xdr:nvSpPr>
      <xdr:spPr bwMode="auto">
        <a:xfrm>
          <a:off x="38100" y="1905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editAs="oneCell">
    <xdr:from>
      <xdr:col>0</xdr:col>
      <xdr:colOff>180975</xdr:colOff>
      <xdr:row>2</xdr:row>
      <xdr:rowOff>9525</xdr:rowOff>
    </xdr:from>
    <xdr:to>
      <xdr:col>0</xdr:col>
      <xdr:colOff>1190625</xdr:colOff>
      <xdr:row>3</xdr:row>
      <xdr:rowOff>66675</xdr:rowOff>
    </xdr:to>
    <xdr:pic>
      <xdr:nvPicPr>
        <xdr:cNvPr id="9402" name="Picture 17" descr="http://www.crwflags.com/fotw/images/g/gh.gif"/>
        <xdr:cNvPicPr>
          <a:picLocks noChangeAspect="1" noChangeArrowheads="1"/>
        </xdr:cNvPicPr>
      </xdr:nvPicPr>
      <xdr:blipFill>
        <a:blip xmlns:r="http://schemas.openxmlformats.org/officeDocument/2006/relationships" r:embed="rId3" cstate="print"/>
        <a:srcRect/>
        <a:stretch>
          <a:fillRect/>
        </a:stretch>
      </xdr:blipFill>
      <xdr:spPr bwMode="auto">
        <a:xfrm>
          <a:off x="180975" y="600075"/>
          <a:ext cx="1009650" cy="51435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9</xdr:row>
      <xdr:rowOff>104775</xdr:rowOff>
    </xdr:from>
    <xdr:to>
      <xdr:col>7</xdr:col>
      <xdr:colOff>57150</xdr:colOff>
      <xdr:row>21</xdr:row>
      <xdr:rowOff>0</xdr:rowOff>
    </xdr:to>
    <xdr:graphicFrame macro="">
      <xdr:nvGraphicFramePr>
        <xdr:cNvPr id="10790" name="Chart 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0</xdr:row>
      <xdr:rowOff>28575</xdr:rowOff>
    </xdr:from>
    <xdr:to>
      <xdr:col>1</xdr:col>
      <xdr:colOff>876300</xdr:colOff>
      <xdr:row>0</xdr:row>
      <xdr:rowOff>361950</xdr:rowOff>
    </xdr:to>
    <xdr:sp macro="" textlink="">
      <xdr:nvSpPr>
        <xdr:cNvPr id="7519" name="AutoShape 50">
          <a:hlinkClick xmlns:r="http://schemas.openxmlformats.org/officeDocument/2006/relationships" r:id="rId2"/>
        </xdr:cNvPr>
        <xdr:cNvSpPr>
          <a:spLocks noChangeArrowheads="1"/>
        </xdr:cNvSpPr>
      </xdr:nvSpPr>
      <xdr:spPr bwMode="auto">
        <a:xfrm>
          <a:off x="38100" y="28575"/>
          <a:ext cx="952500" cy="333375"/>
        </a:xfrm>
        <a:prstGeom prst="leftArrow">
          <a:avLst>
            <a:gd name="adj1" fmla="val 50000"/>
            <a:gd name="adj2" fmla="val 71429"/>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7</xdr:col>
      <xdr:colOff>533400</xdr:colOff>
      <xdr:row>9</xdr:row>
      <xdr:rowOff>152400</xdr:rowOff>
    </xdr:from>
    <xdr:to>
      <xdr:col>12</xdr:col>
      <xdr:colOff>257175</xdr:colOff>
      <xdr:row>20</xdr:row>
      <xdr:rowOff>123825</xdr:rowOff>
    </xdr:to>
    <xdr:grpSp>
      <xdr:nvGrpSpPr>
        <xdr:cNvPr id="10792" name="Group 489"/>
        <xdr:cNvGrpSpPr>
          <a:grpSpLocks/>
        </xdr:cNvGrpSpPr>
      </xdr:nvGrpSpPr>
      <xdr:grpSpPr bwMode="auto">
        <a:xfrm>
          <a:off x="4657725" y="3695700"/>
          <a:ext cx="3714750" cy="2066925"/>
          <a:chOff x="408" y="176"/>
          <a:chExt cx="366" cy="287"/>
        </a:xfrm>
      </xdr:grpSpPr>
      <xdr:graphicFrame macro="">
        <xdr:nvGraphicFramePr>
          <xdr:cNvPr id="10797" name="Chart 31"/>
          <xdr:cNvGraphicFramePr>
            <a:graphicFrameLocks/>
          </xdr:cNvGraphicFramePr>
        </xdr:nvGraphicFramePr>
        <xdr:xfrm>
          <a:off x="408" y="176"/>
          <a:ext cx="366" cy="231"/>
        </xdr:xfrm>
        <a:graphic>
          <a:graphicData uri="http://schemas.openxmlformats.org/drawingml/2006/chart">
            <c:chart xmlns:c="http://schemas.openxmlformats.org/drawingml/2006/chart" xmlns:r="http://schemas.openxmlformats.org/officeDocument/2006/relationships" r:id="rId3"/>
          </a:graphicData>
        </a:graphic>
      </xdr:graphicFrame>
      <xdr:pic>
        <xdr:nvPicPr>
          <xdr:cNvPr id="10798" name="Picture 477" descr="one"/>
          <xdr:cNvPicPr>
            <a:picLocks noChangeAspect="1" noChangeArrowheads="1"/>
          </xdr:cNvPicPr>
        </xdr:nvPicPr>
        <xdr:blipFill>
          <a:blip xmlns:r="http://schemas.openxmlformats.org/officeDocument/2006/relationships" r:embed="rId4" cstate="print"/>
          <a:srcRect/>
          <a:stretch>
            <a:fillRect/>
          </a:stretch>
        </xdr:blipFill>
        <xdr:spPr bwMode="auto">
          <a:xfrm>
            <a:off x="456" y="441"/>
            <a:ext cx="297" cy="22"/>
          </a:xfrm>
          <a:prstGeom prst="rect">
            <a:avLst/>
          </a:prstGeom>
          <a:noFill/>
          <a:ln w="9525">
            <a:noFill/>
            <a:miter lim="800000"/>
            <a:headEnd/>
            <a:tailEnd/>
          </a:ln>
        </xdr:spPr>
      </xdr:pic>
    </xdr:grpSp>
    <xdr:clientData/>
  </xdr:twoCellAnchor>
  <xdr:twoCellAnchor>
    <xdr:from>
      <xdr:col>0</xdr:col>
      <xdr:colOff>104775</xdr:colOff>
      <xdr:row>23</xdr:row>
      <xdr:rowOff>152400</xdr:rowOff>
    </xdr:from>
    <xdr:to>
      <xdr:col>6</xdr:col>
      <xdr:colOff>104775</xdr:colOff>
      <xdr:row>33</xdr:row>
      <xdr:rowOff>9525</xdr:rowOff>
    </xdr:to>
    <xdr:grpSp>
      <xdr:nvGrpSpPr>
        <xdr:cNvPr id="10793" name="Group 490"/>
        <xdr:cNvGrpSpPr>
          <a:grpSpLocks/>
        </xdr:cNvGrpSpPr>
      </xdr:nvGrpSpPr>
      <xdr:grpSpPr bwMode="auto">
        <a:xfrm>
          <a:off x="104775" y="8791575"/>
          <a:ext cx="3867150" cy="2333625"/>
          <a:chOff x="11" y="521"/>
          <a:chExt cx="407" cy="245"/>
        </a:xfrm>
      </xdr:grpSpPr>
      <xdr:graphicFrame macro="">
        <xdr:nvGraphicFramePr>
          <xdr:cNvPr id="10795" name="Chart 34"/>
          <xdr:cNvGraphicFramePr>
            <a:graphicFrameLocks/>
          </xdr:cNvGraphicFramePr>
        </xdr:nvGraphicFramePr>
        <xdr:xfrm>
          <a:off x="11" y="521"/>
          <a:ext cx="407" cy="245"/>
        </xdr:xfrm>
        <a:graphic>
          <a:graphicData uri="http://schemas.openxmlformats.org/drawingml/2006/chart">
            <c:chart xmlns:c="http://schemas.openxmlformats.org/drawingml/2006/chart" xmlns:r="http://schemas.openxmlformats.org/officeDocument/2006/relationships" r:id="rId5"/>
          </a:graphicData>
        </a:graphic>
      </xdr:graphicFrame>
      <xdr:pic>
        <xdr:nvPicPr>
          <xdr:cNvPr id="10796" name="Picture 487" descr="ok"/>
          <xdr:cNvPicPr>
            <a:picLocks noChangeAspect="1" noChangeArrowheads="1"/>
          </xdr:cNvPicPr>
        </xdr:nvPicPr>
        <xdr:blipFill>
          <a:blip xmlns:r="http://schemas.openxmlformats.org/officeDocument/2006/relationships" r:embed="rId6" cstate="print"/>
          <a:srcRect/>
          <a:stretch>
            <a:fillRect/>
          </a:stretch>
        </xdr:blipFill>
        <xdr:spPr bwMode="auto">
          <a:xfrm>
            <a:off x="86" y="708"/>
            <a:ext cx="259" cy="22"/>
          </a:xfrm>
          <a:prstGeom prst="rect">
            <a:avLst/>
          </a:prstGeom>
          <a:noFill/>
          <a:ln w="9525">
            <a:noFill/>
            <a:miter lim="800000"/>
            <a:headEnd/>
            <a:tailEnd/>
          </a:ln>
        </xdr:spPr>
      </xdr:pic>
    </xdr:grpSp>
    <xdr:clientData/>
  </xdr:twoCellAnchor>
  <xdr:twoCellAnchor editAs="oneCell">
    <xdr:from>
      <xdr:col>1</xdr:col>
      <xdr:colOff>0</xdr:colOff>
      <xdr:row>1</xdr:row>
      <xdr:rowOff>0</xdr:rowOff>
    </xdr:from>
    <xdr:to>
      <xdr:col>1</xdr:col>
      <xdr:colOff>714375</xdr:colOff>
      <xdr:row>2</xdr:row>
      <xdr:rowOff>9525</xdr:rowOff>
    </xdr:to>
    <xdr:pic>
      <xdr:nvPicPr>
        <xdr:cNvPr id="10794" name="Picture 17" descr="http://www.crwflags.com/fotw/images/g/gh.gif"/>
        <xdr:cNvPicPr>
          <a:picLocks noChangeAspect="1" noChangeArrowheads="1"/>
        </xdr:cNvPicPr>
      </xdr:nvPicPr>
      <xdr:blipFill>
        <a:blip xmlns:r="http://schemas.openxmlformats.org/officeDocument/2006/relationships" r:embed="rId7" cstate="print"/>
        <a:srcRect/>
        <a:stretch>
          <a:fillRect/>
        </a:stretch>
      </xdr:blipFill>
      <xdr:spPr bwMode="auto">
        <a:xfrm>
          <a:off x="238125" y="390525"/>
          <a:ext cx="714375" cy="36195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6</xdr:col>
      <xdr:colOff>57150</xdr:colOff>
      <xdr:row>9</xdr:row>
      <xdr:rowOff>38100</xdr:rowOff>
    </xdr:from>
    <xdr:to>
      <xdr:col>11</xdr:col>
      <xdr:colOff>542925</xdr:colOff>
      <xdr:row>16</xdr:row>
      <xdr:rowOff>209550</xdr:rowOff>
    </xdr:to>
    <xdr:graphicFrame macro="">
      <xdr:nvGraphicFramePr>
        <xdr:cNvPr id="20786" name="Chart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0</xdr:rowOff>
    </xdr:from>
    <xdr:to>
      <xdr:col>1</xdr:col>
      <xdr:colOff>1057275</xdr:colOff>
      <xdr:row>1</xdr:row>
      <xdr:rowOff>0</xdr:rowOff>
    </xdr:to>
    <xdr:sp macro="" textlink="">
      <xdr:nvSpPr>
        <xdr:cNvPr id="21885" name="AutoShape 50">
          <a:hlinkClick xmlns:r="http://schemas.openxmlformats.org/officeDocument/2006/relationships" r:id="rId2"/>
        </xdr:cNvPr>
        <xdr:cNvSpPr>
          <a:spLocks noChangeArrowheads="1"/>
        </xdr:cNvSpPr>
      </xdr:nvSpPr>
      <xdr:spPr bwMode="auto">
        <a:xfrm>
          <a:off x="9525" y="0"/>
          <a:ext cx="771525" cy="333375"/>
        </a:xfrm>
        <a:prstGeom prst="leftArrow">
          <a:avLst>
            <a:gd name="adj1" fmla="val 50000"/>
            <a:gd name="adj2" fmla="val 5785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12</xdr:col>
      <xdr:colOff>38100</xdr:colOff>
      <xdr:row>9</xdr:row>
      <xdr:rowOff>38100</xdr:rowOff>
    </xdr:from>
    <xdr:to>
      <xdr:col>17</xdr:col>
      <xdr:colOff>228600</xdr:colOff>
      <xdr:row>16</xdr:row>
      <xdr:rowOff>190500</xdr:rowOff>
    </xdr:to>
    <xdr:graphicFrame macro="">
      <xdr:nvGraphicFramePr>
        <xdr:cNvPr id="20788" name="Chart 4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723900</xdr:colOff>
      <xdr:row>9</xdr:row>
      <xdr:rowOff>180975</xdr:rowOff>
    </xdr:from>
    <xdr:to>
      <xdr:col>4</xdr:col>
      <xdr:colOff>457200</xdr:colOff>
      <xdr:row>18</xdr:row>
      <xdr:rowOff>66675</xdr:rowOff>
    </xdr:to>
    <xdr:graphicFrame macro="">
      <xdr:nvGraphicFramePr>
        <xdr:cNvPr id="20789" name="Chart 5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xdr:col>
      <xdr:colOff>0</xdr:colOff>
      <xdr:row>0</xdr:row>
      <xdr:rowOff>323850</xdr:rowOff>
    </xdr:from>
    <xdr:to>
      <xdr:col>1</xdr:col>
      <xdr:colOff>590550</xdr:colOff>
      <xdr:row>2</xdr:row>
      <xdr:rowOff>9525</xdr:rowOff>
    </xdr:to>
    <xdr:pic>
      <xdr:nvPicPr>
        <xdr:cNvPr id="20790" name="Picture 17" descr="http://www.crwflags.com/fotw/images/g/gh.gif"/>
        <xdr:cNvPicPr>
          <a:picLocks noChangeAspect="1" noChangeArrowheads="1"/>
        </xdr:cNvPicPr>
      </xdr:nvPicPr>
      <xdr:blipFill>
        <a:blip xmlns:r="http://schemas.openxmlformats.org/officeDocument/2006/relationships" r:embed="rId5" cstate="print"/>
        <a:srcRect/>
        <a:stretch>
          <a:fillRect/>
        </a:stretch>
      </xdr:blipFill>
      <xdr:spPr bwMode="auto">
        <a:xfrm>
          <a:off x="28575" y="323850"/>
          <a:ext cx="590550" cy="29527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7</xdr:col>
      <xdr:colOff>28575</xdr:colOff>
      <xdr:row>7</xdr:row>
      <xdr:rowOff>171450</xdr:rowOff>
    </xdr:from>
    <xdr:to>
      <xdr:col>12</xdr:col>
      <xdr:colOff>238125</xdr:colOff>
      <xdr:row>14</xdr:row>
      <xdr:rowOff>152400</xdr:rowOff>
    </xdr:to>
    <xdr:graphicFrame macro="">
      <xdr:nvGraphicFramePr>
        <xdr:cNvPr id="14764" name="Chart 10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16</xdr:row>
      <xdr:rowOff>38100</xdr:rowOff>
    </xdr:from>
    <xdr:to>
      <xdr:col>5</xdr:col>
      <xdr:colOff>1095375</xdr:colOff>
      <xdr:row>25</xdr:row>
      <xdr:rowOff>66675</xdr:rowOff>
    </xdr:to>
    <xdr:graphicFrame macro="">
      <xdr:nvGraphicFramePr>
        <xdr:cNvPr id="14765" name="Chart 10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95250</xdr:colOff>
      <xdr:row>8</xdr:row>
      <xdr:rowOff>19050</xdr:rowOff>
    </xdr:from>
    <xdr:to>
      <xdr:col>5</xdr:col>
      <xdr:colOff>1095375</xdr:colOff>
      <xdr:row>14</xdr:row>
      <xdr:rowOff>66675</xdr:rowOff>
    </xdr:to>
    <xdr:graphicFrame macro="">
      <xdr:nvGraphicFramePr>
        <xdr:cNvPr id="14766" name="Chart 10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228600</xdr:colOff>
      <xdr:row>15</xdr:row>
      <xdr:rowOff>180975</xdr:rowOff>
    </xdr:from>
    <xdr:to>
      <xdr:col>12</xdr:col>
      <xdr:colOff>371475</xdr:colOff>
      <xdr:row>24</xdr:row>
      <xdr:rowOff>180975</xdr:rowOff>
    </xdr:to>
    <xdr:graphicFrame macro="">
      <xdr:nvGraphicFramePr>
        <xdr:cNvPr id="14767" name="Chart 10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285750</xdr:colOff>
      <xdr:row>27</xdr:row>
      <xdr:rowOff>47625</xdr:rowOff>
    </xdr:from>
    <xdr:to>
      <xdr:col>5</xdr:col>
      <xdr:colOff>952500</xdr:colOff>
      <xdr:row>33</xdr:row>
      <xdr:rowOff>247650</xdr:rowOff>
    </xdr:to>
    <xdr:graphicFrame macro="">
      <xdr:nvGraphicFramePr>
        <xdr:cNvPr id="14768" name="Chart 109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47625</xdr:colOff>
      <xdr:row>0</xdr:row>
      <xdr:rowOff>19050</xdr:rowOff>
    </xdr:from>
    <xdr:to>
      <xdr:col>1</xdr:col>
      <xdr:colOff>904875</xdr:colOff>
      <xdr:row>0</xdr:row>
      <xdr:rowOff>352425</xdr:rowOff>
    </xdr:to>
    <xdr:sp macro="" textlink="">
      <xdr:nvSpPr>
        <xdr:cNvPr id="14769" name="AutoShape 50">
          <a:hlinkClick xmlns:r="http://schemas.openxmlformats.org/officeDocument/2006/relationships" r:id="rId6"/>
        </xdr:cNvPr>
        <xdr:cNvSpPr>
          <a:spLocks noChangeArrowheads="1"/>
        </xdr:cNvSpPr>
      </xdr:nvSpPr>
      <xdr:spPr bwMode="auto">
        <a:xfrm>
          <a:off x="47625" y="19050"/>
          <a:ext cx="866775" cy="333375"/>
        </a:xfrm>
        <a:prstGeom prst="leftArrow">
          <a:avLst>
            <a:gd name="adj1" fmla="val 50000"/>
            <a:gd name="adj2" fmla="val 65000"/>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editAs="oneCell">
    <xdr:from>
      <xdr:col>1</xdr:col>
      <xdr:colOff>0</xdr:colOff>
      <xdr:row>1</xdr:row>
      <xdr:rowOff>0</xdr:rowOff>
    </xdr:from>
    <xdr:to>
      <xdr:col>2</xdr:col>
      <xdr:colOff>19050</xdr:colOff>
      <xdr:row>2</xdr:row>
      <xdr:rowOff>9525</xdr:rowOff>
    </xdr:to>
    <xdr:pic>
      <xdr:nvPicPr>
        <xdr:cNvPr id="14770" name="Picture 17" descr="http://www.crwflags.com/fotw/images/g/gh.gif"/>
        <xdr:cNvPicPr>
          <a:picLocks noChangeAspect="1" noChangeArrowheads="1"/>
        </xdr:cNvPicPr>
      </xdr:nvPicPr>
      <xdr:blipFill>
        <a:blip xmlns:r="http://schemas.openxmlformats.org/officeDocument/2006/relationships" r:embed="rId7" cstate="print"/>
        <a:srcRect/>
        <a:stretch>
          <a:fillRect/>
        </a:stretch>
      </xdr:blipFill>
      <xdr:spPr bwMode="auto">
        <a:xfrm>
          <a:off x="219075" y="361950"/>
          <a:ext cx="714375" cy="361950"/>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12</xdr:col>
      <xdr:colOff>0</xdr:colOff>
      <xdr:row>6</xdr:row>
      <xdr:rowOff>0</xdr:rowOff>
    </xdr:from>
    <xdr:to>
      <xdr:col>12</xdr:col>
      <xdr:colOff>0</xdr:colOff>
      <xdr:row>6</xdr:row>
      <xdr:rowOff>0</xdr:rowOff>
    </xdr:to>
    <xdr:graphicFrame macro="">
      <xdr:nvGraphicFramePr>
        <xdr:cNvPr id="2578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xdr:colOff>
      <xdr:row>0</xdr:row>
      <xdr:rowOff>38100</xdr:rowOff>
    </xdr:from>
    <xdr:to>
      <xdr:col>1</xdr:col>
      <xdr:colOff>819150</xdr:colOff>
      <xdr:row>0</xdr:row>
      <xdr:rowOff>371475</xdr:rowOff>
    </xdr:to>
    <xdr:sp macro="" textlink="">
      <xdr:nvSpPr>
        <xdr:cNvPr id="33131" name="AutoShape 50">
          <a:hlinkClick xmlns:r="http://schemas.openxmlformats.org/officeDocument/2006/relationships" r:id="rId2"/>
        </xdr:cNvPr>
        <xdr:cNvSpPr>
          <a:spLocks noChangeArrowheads="1"/>
        </xdr:cNvSpPr>
      </xdr:nvSpPr>
      <xdr:spPr bwMode="auto">
        <a:xfrm>
          <a:off x="19050" y="3810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editAs="oneCell">
    <xdr:from>
      <xdr:col>1</xdr:col>
      <xdr:colOff>0</xdr:colOff>
      <xdr:row>1</xdr:row>
      <xdr:rowOff>0</xdr:rowOff>
    </xdr:from>
    <xdr:to>
      <xdr:col>1</xdr:col>
      <xdr:colOff>714375</xdr:colOff>
      <xdr:row>2</xdr:row>
      <xdr:rowOff>9525</xdr:rowOff>
    </xdr:to>
    <xdr:pic>
      <xdr:nvPicPr>
        <xdr:cNvPr id="25786" name="Picture 17" descr="http://www.crwflags.com/fotw/images/g/gh.gif"/>
        <xdr:cNvPicPr>
          <a:picLocks noChangeAspect="1" noChangeArrowheads="1"/>
        </xdr:cNvPicPr>
      </xdr:nvPicPr>
      <xdr:blipFill>
        <a:blip xmlns:r="http://schemas.openxmlformats.org/officeDocument/2006/relationships" r:embed="rId3" cstate="print"/>
        <a:srcRect/>
        <a:stretch>
          <a:fillRect/>
        </a:stretch>
      </xdr:blipFill>
      <xdr:spPr bwMode="auto">
        <a:xfrm>
          <a:off x="276225" y="390525"/>
          <a:ext cx="714375" cy="361950"/>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8</xdr:col>
      <xdr:colOff>0</xdr:colOff>
      <xdr:row>20</xdr:row>
      <xdr:rowOff>0</xdr:rowOff>
    </xdr:from>
    <xdr:to>
      <xdr:col>8</xdr:col>
      <xdr:colOff>85725</xdr:colOff>
      <xdr:row>20</xdr:row>
      <xdr:rowOff>0</xdr:rowOff>
    </xdr:to>
    <xdr:grpSp>
      <xdr:nvGrpSpPr>
        <xdr:cNvPr id="25431" name="Group 41"/>
        <xdr:cNvGrpSpPr>
          <a:grpSpLocks/>
        </xdr:cNvGrpSpPr>
      </xdr:nvGrpSpPr>
      <xdr:grpSpPr bwMode="auto">
        <a:xfrm>
          <a:off x="5543550" y="9201150"/>
          <a:ext cx="85725" cy="0"/>
          <a:chOff x="595" y="540"/>
          <a:chExt cx="9" cy="9"/>
        </a:xfrm>
      </xdr:grpSpPr>
      <xdr:sp macro="" textlink="">
        <xdr:nvSpPr>
          <xdr:cNvPr id="25443" name="Rectangle 11"/>
          <xdr:cNvSpPr>
            <a:spLocks noChangeArrowheads="1"/>
          </xdr:cNvSpPr>
        </xdr:nvSpPr>
        <xdr:spPr bwMode="auto">
          <a:xfrm>
            <a:off x="595" y="540"/>
            <a:ext cx="9" cy="9"/>
          </a:xfrm>
          <a:prstGeom prst="rect">
            <a:avLst/>
          </a:prstGeom>
          <a:solidFill>
            <a:srgbClr val="FFFFFF"/>
          </a:solidFill>
          <a:ln w="9525">
            <a:noFill/>
            <a:miter lim="800000"/>
            <a:headEnd/>
            <a:tailEnd/>
          </a:ln>
        </xdr:spPr>
      </xdr:sp>
      <xdr:sp macro="" textlink="">
        <xdr:nvSpPr>
          <xdr:cNvPr id="25444" name="Arc 12"/>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8</xdr:col>
      <xdr:colOff>981075</xdr:colOff>
      <xdr:row>20</xdr:row>
      <xdr:rowOff>0</xdr:rowOff>
    </xdr:from>
    <xdr:to>
      <xdr:col>9</xdr:col>
      <xdr:colOff>9525</xdr:colOff>
      <xdr:row>20</xdr:row>
      <xdr:rowOff>0</xdr:rowOff>
    </xdr:to>
    <xdr:grpSp>
      <xdr:nvGrpSpPr>
        <xdr:cNvPr id="25432" name="Group 44"/>
        <xdr:cNvGrpSpPr>
          <a:grpSpLocks/>
        </xdr:cNvGrpSpPr>
      </xdr:nvGrpSpPr>
      <xdr:grpSpPr bwMode="auto">
        <a:xfrm>
          <a:off x="6524625" y="9201150"/>
          <a:ext cx="85725" cy="0"/>
          <a:chOff x="698" y="540"/>
          <a:chExt cx="9" cy="9"/>
        </a:xfrm>
      </xdr:grpSpPr>
      <xdr:sp macro="" textlink="">
        <xdr:nvSpPr>
          <xdr:cNvPr id="25441" name="Rectangle 47"/>
          <xdr:cNvSpPr>
            <a:spLocks noChangeArrowheads="1"/>
          </xdr:cNvSpPr>
        </xdr:nvSpPr>
        <xdr:spPr bwMode="auto">
          <a:xfrm rot="-5400000" flipH="1" flipV="1">
            <a:off x="698" y="540"/>
            <a:ext cx="9" cy="9"/>
          </a:xfrm>
          <a:prstGeom prst="rect">
            <a:avLst/>
          </a:prstGeom>
          <a:solidFill>
            <a:srgbClr val="FFFFFF"/>
          </a:solidFill>
          <a:ln w="9525">
            <a:noFill/>
            <a:miter lim="800000"/>
            <a:headEnd/>
            <a:tailEnd/>
          </a:ln>
        </xdr:spPr>
      </xdr:sp>
      <xdr:sp macro="" textlink="">
        <xdr:nvSpPr>
          <xdr:cNvPr id="25442" name="Arc 48"/>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6</xdr:col>
      <xdr:colOff>781050</xdr:colOff>
      <xdr:row>20</xdr:row>
      <xdr:rowOff>0</xdr:rowOff>
    </xdr:from>
    <xdr:to>
      <xdr:col>7</xdr:col>
      <xdr:colOff>0</xdr:colOff>
      <xdr:row>20</xdr:row>
      <xdr:rowOff>0</xdr:rowOff>
    </xdr:to>
    <xdr:grpSp>
      <xdr:nvGrpSpPr>
        <xdr:cNvPr id="25433" name="Group 47"/>
        <xdr:cNvGrpSpPr>
          <a:grpSpLocks/>
        </xdr:cNvGrpSpPr>
      </xdr:nvGrpSpPr>
      <xdr:grpSpPr bwMode="auto">
        <a:xfrm>
          <a:off x="5172075" y="9201150"/>
          <a:ext cx="85725" cy="0"/>
          <a:chOff x="698" y="540"/>
          <a:chExt cx="9" cy="9"/>
        </a:xfrm>
      </xdr:grpSpPr>
      <xdr:sp macro="" textlink="">
        <xdr:nvSpPr>
          <xdr:cNvPr id="25439" name="Rectangle 47"/>
          <xdr:cNvSpPr>
            <a:spLocks noChangeArrowheads="1"/>
          </xdr:cNvSpPr>
        </xdr:nvSpPr>
        <xdr:spPr bwMode="auto">
          <a:xfrm rot="-5400000" flipH="1" flipV="1">
            <a:off x="698" y="540"/>
            <a:ext cx="9" cy="9"/>
          </a:xfrm>
          <a:prstGeom prst="rect">
            <a:avLst/>
          </a:prstGeom>
          <a:solidFill>
            <a:srgbClr val="FFFFFF"/>
          </a:solidFill>
          <a:ln w="9525">
            <a:noFill/>
            <a:miter lim="800000"/>
            <a:headEnd/>
            <a:tailEnd/>
          </a:ln>
        </xdr:spPr>
      </xdr:sp>
      <xdr:sp macro="" textlink="">
        <xdr:nvSpPr>
          <xdr:cNvPr id="25440" name="Arc 48"/>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3</xdr:col>
      <xdr:colOff>0</xdr:colOff>
      <xdr:row>20</xdr:row>
      <xdr:rowOff>0</xdr:rowOff>
    </xdr:from>
    <xdr:to>
      <xdr:col>3</xdr:col>
      <xdr:colOff>85725</xdr:colOff>
      <xdr:row>20</xdr:row>
      <xdr:rowOff>0</xdr:rowOff>
    </xdr:to>
    <xdr:grpSp>
      <xdr:nvGrpSpPr>
        <xdr:cNvPr id="25434" name="Group 50"/>
        <xdr:cNvGrpSpPr>
          <a:grpSpLocks/>
        </xdr:cNvGrpSpPr>
      </xdr:nvGrpSpPr>
      <xdr:grpSpPr bwMode="auto">
        <a:xfrm>
          <a:off x="1438275" y="9201150"/>
          <a:ext cx="85725" cy="0"/>
          <a:chOff x="595" y="540"/>
          <a:chExt cx="9" cy="9"/>
        </a:xfrm>
      </xdr:grpSpPr>
      <xdr:sp macro="" textlink="">
        <xdr:nvSpPr>
          <xdr:cNvPr id="25437" name="Rectangle 11"/>
          <xdr:cNvSpPr>
            <a:spLocks noChangeArrowheads="1"/>
          </xdr:cNvSpPr>
        </xdr:nvSpPr>
        <xdr:spPr bwMode="auto">
          <a:xfrm>
            <a:off x="595" y="540"/>
            <a:ext cx="9" cy="9"/>
          </a:xfrm>
          <a:prstGeom prst="rect">
            <a:avLst/>
          </a:prstGeom>
          <a:solidFill>
            <a:srgbClr val="FFFFFF"/>
          </a:solidFill>
          <a:ln w="9525">
            <a:noFill/>
            <a:miter lim="800000"/>
            <a:headEnd/>
            <a:tailEnd/>
          </a:ln>
        </xdr:spPr>
      </xdr:sp>
      <xdr:sp macro="" textlink="">
        <xdr:nvSpPr>
          <xdr:cNvPr id="25438" name="Arc 12"/>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0</xdr:col>
      <xdr:colOff>9525</xdr:colOff>
      <xdr:row>0</xdr:row>
      <xdr:rowOff>76200</xdr:rowOff>
    </xdr:from>
    <xdr:to>
      <xdr:col>1</xdr:col>
      <xdr:colOff>1162050</xdr:colOff>
      <xdr:row>0</xdr:row>
      <xdr:rowOff>419100</xdr:rowOff>
    </xdr:to>
    <xdr:sp macro="" textlink="">
      <xdr:nvSpPr>
        <xdr:cNvPr id="1150121" name="AutoShape 50">
          <a:hlinkClick xmlns:r="http://schemas.openxmlformats.org/officeDocument/2006/relationships" r:id="rId1"/>
        </xdr:cNvPr>
        <xdr:cNvSpPr>
          <a:spLocks noChangeArrowheads="1"/>
        </xdr:cNvSpPr>
      </xdr:nvSpPr>
      <xdr:spPr bwMode="auto">
        <a:xfrm>
          <a:off x="9525" y="76200"/>
          <a:ext cx="1228725" cy="342900"/>
        </a:xfrm>
        <a:prstGeom prst="leftArrow">
          <a:avLst>
            <a:gd name="adj1" fmla="val 50000"/>
            <a:gd name="adj2" fmla="val 89583"/>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editAs="oneCell">
    <xdr:from>
      <xdr:col>1</xdr:col>
      <xdr:colOff>0</xdr:colOff>
      <xdr:row>1</xdr:row>
      <xdr:rowOff>0</xdr:rowOff>
    </xdr:from>
    <xdr:to>
      <xdr:col>1</xdr:col>
      <xdr:colOff>714375</xdr:colOff>
      <xdr:row>2</xdr:row>
      <xdr:rowOff>9525</xdr:rowOff>
    </xdr:to>
    <xdr:pic>
      <xdr:nvPicPr>
        <xdr:cNvPr id="25436" name="Picture 17" descr="http://www.crwflags.com/fotw/images/g/gh.gif"/>
        <xdr:cNvPicPr>
          <a:picLocks noChangeAspect="1" noChangeArrowheads="1"/>
        </xdr:cNvPicPr>
      </xdr:nvPicPr>
      <xdr:blipFill>
        <a:blip xmlns:r="http://schemas.openxmlformats.org/officeDocument/2006/relationships" r:embed="rId2" cstate="print"/>
        <a:srcRect/>
        <a:stretch>
          <a:fillRect/>
        </a:stretch>
      </xdr:blipFill>
      <xdr:spPr bwMode="auto">
        <a:xfrm>
          <a:off x="76200" y="485775"/>
          <a:ext cx="714375" cy="361950"/>
        </a:xfrm>
        <a:prstGeom prst="rect">
          <a:avLst/>
        </a:prstGeom>
        <a:noFill/>
        <a:ln w="9525">
          <a:noFill/>
          <a:miter lim="800000"/>
          <a:headEnd/>
          <a:tailEnd/>
        </a:ln>
      </xdr:spPr>
    </xdr:pic>
    <xdr:clientData/>
  </xdr:twoCellAnchor>
</xdr:wsDr>
</file>

<file path=xl/tables/tableSingleCells1.xml><?xml version="1.0" encoding="utf-8"?>
<singleXmlCells xmlns="http://schemas.openxmlformats.org/spreadsheetml/2006/main">
  <singleXmlCell id="419" r="C4" connectionId="0">
    <xmlCellPr id="1" uniqueName="1">
      <xmlPr mapId="43" xpath="/ns1:Root/ns1:Country" xmlDataType="string"/>
    </xmlCellPr>
  </singleXmlCell>
  <singleXmlCell id="420" r="C6" connectionId="0">
    <xmlCellPr id="1" uniqueName="1">
      <xmlPr mapId="43" xpath="/ns1:Root/ns1:GrantNumber" xmlDataType="string"/>
    </xmlCellPr>
  </singleXmlCell>
  <singleXmlCell id="421" r="C8" connectionId="0">
    <xmlCellPr id="1" uniqueName="1">
      <xmlPr mapId="43" xpath="/ns1:Root/ns1:PR" xmlDataType="string"/>
    </xmlCellPr>
  </singleXmlCell>
  <singleXmlCell id="422" r="C10" connectionId="0">
    <xmlCellPr id="1" uniqueName="1">
      <xmlPr mapId="43" xpath="/ns1:Root/ns1:StartDate" xmlDataType="dateTime"/>
    </xmlCellPr>
  </singleXmlCell>
  <singleXmlCell id="423" r="C12" connectionId="0">
    <xmlCellPr id="1" uniqueName="1">
      <xmlPr mapId="43" xpath="/ns1:Root/ns1:LatestRating" xmlDataType="string"/>
    </xmlCellPr>
  </singleXmlCell>
  <singleXmlCell id="424" r="G4" connectionId="0">
    <xmlCellPr id="1" uniqueName="1">
      <xmlPr mapId="43" xpath="/ns1:Root/ns1:GranTitle" xmlDataType="string"/>
    </xmlCellPr>
  </singleXmlCell>
  <singleXmlCell id="425" r="G6" connectionId="0">
    <xmlCellPr id="1" uniqueName="1">
      <xmlPr mapId="43" xpath="/ns1:Root/ns1:Componenent" xmlDataType="string"/>
    </xmlCellPr>
  </singleXmlCell>
  <singleXmlCell id="426" r="I6" connectionId="0">
    <xmlCellPr id="1" uniqueName="1">
      <xmlPr mapId="43" xpath="/ns1:Root/ns1:TotalFunding" xmlDataType="double"/>
    </xmlCellPr>
  </singleXmlCell>
  <singleXmlCell id="427" r="G8" connectionId="0">
    <xmlCellPr id="1" uniqueName="1">
      <xmlPr mapId="43" xpath="/ns1:Root/ns1:Round" xmlDataType="string"/>
    </xmlCellPr>
  </singleXmlCell>
  <singleXmlCell id="428" r="I8" connectionId="0">
    <xmlCellPr id="1" uniqueName="1">
      <xmlPr mapId="43" xpath="/ns1:Root/ns1:Phase" xmlDataType="string"/>
    </xmlCellPr>
  </singleXmlCell>
  <singleXmlCell id="429" r="G10" connectionId="0">
    <xmlCellPr id="1" uniqueName="1">
      <xmlPr mapId="43" xpath="/ns1:Root/ns1:LFA" xmlDataType="string"/>
    </xmlCellPr>
  </singleXmlCell>
  <singleXmlCell id="430" r="G12" connectionId="0">
    <xmlCellPr id="1" uniqueName="1">
      <xmlPr mapId="43" xpath="/ns1:Root/ns1:FPM" xmlDataType="string"/>
    </xmlCellPr>
  </singleXmlCell>
  <singleXmlCell id="431" r="C16" connectionId="0">
    <xmlCellPr id="1" uniqueName="1">
      <xmlPr mapId="43" xpath="/ns1:Root/ns1:Period" xmlDataType="string"/>
    </xmlCellPr>
  </singleXmlCell>
  <singleXmlCell id="432" r="E16" connectionId="0">
    <xmlCellPr id="1" uniqueName="1">
      <xmlPr mapId="43" xpath="/ns1:Root/ns1:From" xmlDataType="dateTime"/>
    </xmlCellPr>
  </singleXmlCell>
  <singleXmlCell id="433" r="G16" connectionId="0">
    <xmlCellPr id="1" uniqueName="1">
      <xmlPr mapId="43" xpath="/ns1:Root/ns1:To" xmlDataType="dateTime"/>
    </xmlCellPr>
  </singleXmlCell>
  <singleXmlCell id="434" r="J16" connectionId="0">
    <xmlCellPr id="1" uniqueName="1">
      <xmlPr mapId="43" xpath="/ns1:Root/ns1:DataEntryDate" xmlDataType="dateTime"/>
    </xmlCellPr>
  </singleXmlCell>
  <singleXmlCell id="435" r="D18" connectionId="0">
    <xmlCellPr id="1" uniqueName="1">
      <xmlPr mapId="43" xpath="/ns1:Root/ns1:PreparedBy" xmlDataType="string"/>
    </xmlCellPr>
  </singleXmlCell>
  <singleXmlCell id="436" r="C31" connectionId="0">
    <xmlCellPr id="1" uniqueName="1">
      <xmlPr mapId="43" xpath="/ns1:Root/ns1:F1/ns1:Budget__in____P1" xmlDataType="double"/>
    </xmlCellPr>
  </singleXmlCell>
  <singleXmlCell id="437" r="D31" connectionId="0">
    <xmlCellPr id="1" uniqueName="1">
      <xmlPr mapId="43" xpath="/ns1:Root/ns1:F1/ns1:Budget__in____P2" xmlDataType="double"/>
    </xmlCellPr>
  </singleXmlCell>
  <singleXmlCell id="438" r="E31" connectionId="0">
    <xmlCellPr id="1" uniqueName="1">
      <xmlPr mapId="43" xpath="/ns1:Root/ns1:F1/ns1:Budget__in____P3" xmlDataType="string"/>
    </xmlCellPr>
  </singleXmlCell>
  <singleXmlCell id="439" r="F31" connectionId="0">
    <xmlCellPr id="1" uniqueName="1">
      <xmlPr mapId="43" xpath="/ns1:Root/ns1:F1/ns1:Budget__in____P4" xmlDataType="string"/>
    </xmlCellPr>
  </singleXmlCell>
  <singleXmlCell id="440" r="G31" connectionId="0">
    <xmlCellPr id="1" uniqueName="1">
      <xmlPr mapId="43" xpath="/ns1:Root/ns1:F1/ns1:Budget__in____P5" xmlDataType="string"/>
    </xmlCellPr>
  </singleXmlCell>
  <singleXmlCell id="441" r="H31" connectionId="0">
    <xmlCellPr id="1" uniqueName="1">
      <xmlPr mapId="43" xpath="/ns1:Root/ns1:F1/ns1:Budget__in____P6" xmlDataType="string"/>
    </xmlCellPr>
  </singleXmlCell>
  <singleXmlCell id="442" r="I31" connectionId="0">
    <xmlCellPr id="1" uniqueName="1">
      <xmlPr mapId="43" xpath="/ns1:Root/ns1:F1/ns1:Budget__in____P7" xmlDataType="string"/>
    </xmlCellPr>
  </singleXmlCell>
  <singleXmlCell id="443" r="J31" connectionId="0">
    <xmlCellPr id="1" uniqueName="1">
      <xmlPr mapId="43" xpath="/ns1:Root/ns1:F1/ns1:Budget__in____P8" xmlDataType="string"/>
    </xmlCellPr>
  </singleXmlCell>
  <singleXmlCell id="444" r="K31" connectionId="0">
    <xmlCellPr id="1" uniqueName="1">
      <xmlPr mapId="43" xpath="/ns1:Root/ns1:F1/ns1:Budget__in____P9" xmlDataType="string"/>
    </xmlCellPr>
  </singleXmlCell>
  <singleXmlCell id="445" r="L31" connectionId="0">
    <xmlCellPr id="1" uniqueName="1">
      <xmlPr mapId="43" xpath="/ns1:Root/ns1:F1/ns1:Budget__in____P10" xmlDataType="string"/>
    </xmlCellPr>
  </singleXmlCell>
  <singleXmlCell id="446" r="M31" connectionId="0">
    <xmlCellPr id="1" uniqueName="1">
      <xmlPr mapId="43" xpath="/ns1:Root/ns1:F1/ns1:Budget__in____P11" xmlDataType="string"/>
    </xmlCellPr>
  </singleXmlCell>
  <singleXmlCell id="447" r="N31" connectionId="0">
    <xmlCellPr id="1" uniqueName="1">
      <xmlPr mapId="43" xpath="/ns1:Root/ns1:F1/ns1:Budget__in____P12" xmlDataType="string"/>
    </xmlCellPr>
  </singleXmlCell>
  <singleXmlCell id="448" r="C32" connectionId="0">
    <xmlCellPr id="1" uniqueName="1">
      <xmlPr mapId="43" xpath="/ns1:Root/ns1:F1/ns1:Disbursements_by_GF__in____P1" xmlDataType="double"/>
    </xmlCellPr>
  </singleXmlCell>
  <singleXmlCell id="449" r="D32" connectionId="0">
    <xmlCellPr id="1" uniqueName="1">
      <xmlPr mapId="43" xpath="/ns1:Root/ns1:F1/ns1:Disbursements_by_GF__in____P2" xmlDataType="double"/>
    </xmlCellPr>
  </singleXmlCell>
  <singleXmlCell id="450" r="E32" connectionId="0">
    <xmlCellPr id="1" uniqueName="1">
      <xmlPr mapId="43" xpath="/ns1:Root/ns1:F1/ns1:Disbursements_by_GF__in____P3" xmlDataType="string"/>
    </xmlCellPr>
  </singleXmlCell>
  <singleXmlCell id="451" r="F32" connectionId="0">
    <xmlCellPr id="1" uniqueName="1">
      <xmlPr mapId="43" xpath="/ns1:Root/ns1:F1/ns1:Disbursements_by_GF__in____P4" xmlDataType="string"/>
    </xmlCellPr>
  </singleXmlCell>
  <singleXmlCell id="452" r="G32" connectionId="0">
    <xmlCellPr id="1" uniqueName="1">
      <xmlPr mapId="43" xpath="/ns1:Root/ns1:F1/ns1:Disbursements_by_GF__in____P5" xmlDataType="string"/>
    </xmlCellPr>
  </singleXmlCell>
  <singleXmlCell id="453" r="H32" connectionId="0">
    <xmlCellPr id="1" uniqueName="1">
      <xmlPr mapId="43" xpath="/ns1:Root/ns1:F1/ns1:Disbursements_by_GF__in____P6" xmlDataType="string"/>
    </xmlCellPr>
  </singleXmlCell>
  <singleXmlCell id="454" r="I32" connectionId="0">
    <xmlCellPr id="1" uniqueName="1">
      <xmlPr mapId="43" xpath="/ns1:Root/ns1:F1/ns1:Disbursements_by_GF__in____P7" xmlDataType="string"/>
    </xmlCellPr>
  </singleXmlCell>
  <singleXmlCell id="455" r="J32" connectionId="0">
    <xmlCellPr id="1" uniqueName="1">
      <xmlPr mapId="43" xpath="/ns1:Root/ns1:F1/ns1:Disbursements_by_GF__in____P8" xmlDataType="string"/>
    </xmlCellPr>
  </singleXmlCell>
  <singleXmlCell id="456" r="K32" connectionId="0">
    <xmlCellPr id="1" uniqueName="1">
      <xmlPr mapId="43" xpath="/ns1:Root/ns1:F1/ns1:Disbursements_by_GF__in____P9" xmlDataType="string"/>
    </xmlCellPr>
  </singleXmlCell>
  <singleXmlCell id="457" r="L32" connectionId="0">
    <xmlCellPr id="1" uniqueName="1">
      <xmlPr mapId="43" xpath="/ns1:Root/ns1:F1/ns1:Disbursements_by_GF__in____P10" xmlDataType="string"/>
    </xmlCellPr>
  </singleXmlCell>
  <singleXmlCell id="458" r="M32" connectionId="0">
    <xmlCellPr id="1" uniqueName="1">
      <xmlPr mapId="43" xpath="/ns1:Root/ns1:F1/ns1:Disbursements_by_GF__in____P11" xmlDataType="string"/>
    </xmlCellPr>
  </singleXmlCell>
  <singleXmlCell id="459" r="N32" connectionId="0">
    <xmlCellPr id="1" uniqueName="1">
      <xmlPr mapId="43" xpath="/ns1:Root/ns1:F1/ns1:Disbursements_by_GF__in____P12" xmlDataType="string"/>
    </xmlCellPr>
  </singleXmlCell>
  <singleXmlCell id="460" r="C39" connectionId="0">
    <xmlCellPr id="1" uniqueName="1">
      <xmlPr mapId="43" xpath="/ns1:Root/ns1:F2/ns1:TB__detect_and_treat_Cumulative_Budget__in___" xmlDataType="double"/>
    </xmlCellPr>
  </singleXmlCell>
  <singleXmlCell id="461" r="D39" connectionId="0">
    <xmlCellPr id="1" uniqueName="1">
      <xmlPr mapId="43" xpath="/ns1:Root/ns1:F2/ns1:TB__detect_and_treat_Cumulative_Expenditures__in___" xmlDataType="double"/>
    </xmlCellPr>
  </singleXmlCell>
  <singleXmlCell id="462" r="C40" connectionId="0">
    <xmlCellPr id="1" uniqueName="1">
      <xmlPr mapId="43" xpath="/ns1:Root/ns1:F2/ns1:TB__ID_cases_Cumulative_Budget__in___" xmlDataType="double"/>
    </xmlCellPr>
  </singleXmlCell>
  <singleXmlCell id="463" r="D40" connectionId="0">
    <xmlCellPr id="1" uniqueName="1">
      <xmlPr mapId="43" xpath="/ns1:Root/ns1:F2/ns1:TB__ID_cases_Cumulative_Expenditures__in___" xmlDataType="double"/>
    </xmlCellPr>
  </singleXmlCell>
  <singleXmlCell id="464" r="C44" connectionId="0">
    <xmlCellPr id="1" uniqueName="1">
      <xmlPr mapId="43" xpath="/ns1:Root/ns1:F2/ns1:TB_HIV__Cumulative_Budget__in___" xmlDataType="double"/>
    </xmlCellPr>
  </singleXmlCell>
  <singleXmlCell id="465" r="D45" connectionId="0">
    <xmlCellPr id="1" uniqueName="1">
      <xmlPr mapId="43" xpath="/ns1:Root/ns1:F2/ns1:TB_HIV__Cumulative_Expenditures__in___" xmlDataType="double"/>
    </xmlCellPr>
  </singleXmlCell>
  <singleXmlCell id="466" r="C45" connectionId="0">
    <xmlCellPr id="1" uniqueName="1">
      <xmlPr mapId="43" xpath="/ns1:Root/ns1:F2/ns1:Advocacy__Commun__SocMob_Cumulative_Budget__in___" xmlDataType="double"/>
    </xmlCellPr>
  </singleXmlCell>
  <singleXmlCell id="467" r="D46" connectionId="0">
    <xmlCellPr id="1" uniqueName="1">
      <xmlPr mapId="43" xpath="/ns1:Root/ns1:F2/ns1:Advocacy__Commun__SocMob_Cumulative_Expenditures__in___" xmlDataType="double"/>
    </xmlCellPr>
  </singleXmlCell>
  <singleXmlCell id="468" r="C46" connectionId="0">
    <xmlCellPr id="1" uniqueName="1">
      <xmlPr mapId="43" xpath="/ns1:Root/ns1:F2/ns1:Environ__Community_TB_care__Cumulative_Budget__in___" xmlDataType="double"/>
    </xmlCellPr>
  </singleXmlCell>
  <singleXmlCell id="469" r="D47" connectionId="0">
    <xmlCellPr id="1" uniqueName="1">
      <xmlPr mapId="43" xpath="/ns1:Root/ns1:F2/ns1:Environ__Community_TB_care__Cumulative_Expenditures__in___" xmlDataType="double"/>
    </xmlCellPr>
  </singleXmlCell>
  <singleXmlCell id="470" r="C47" connectionId="0">
    <xmlCellPr id="1" uniqueName="1">
      <xmlPr mapId="43" xpath="/ns1:Root/ns1:F2/ns1:_Cumulative_Budget__in____1" xmlDataType="string"/>
    </xmlCellPr>
  </singleXmlCell>
  <singleXmlCell id="471" r="D48" connectionId="0">
    <xmlCellPr id="1" uniqueName="1">
      <xmlPr mapId="43" xpath="/ns1:Root/ns1:F2/ns1:_Cumulative_Expenditures__in____1" xmlDataType="string"/>
    </xmlCellPr>
  </singleXmlCell>
  <singleXmlCell id="472" r="C48" connectionId="0">
    <xmlCellPr id="1" uniqueName="1">
      <xmlPr mapId="43" xpath="/ns1:Root/ns1:F2/ns1:_Cumulative_Budget__in____2" xmlDataType="string"/>
    </xmlCellPr>
  </singleXmlCell>
  <singleXmlCell id="473" r="D49" connectionId="0">
    <xmlCellPr id="1" uniqueName="1">
      <xmlPr mapId="43" xpath="/ns1:Root/ns1:F2/ns1:_Cumulative_Expenditures__in____2" xmlDataType="string"/>
    </xmlCellPr>
  </singleXmlCell>
  <singleXmlCell id="474" r="C50" connectionId="0">
    <xmlCellPr id="1" uniqueName="1">
      <xmlPr mapId="43" xpath="/ns1:Root/ns1:F2/ns1:_Cumulative_Budget__in___" xmlDataType="string"/>
    </xmlCellPr>
  </singleXmlCell>
  <singleXmlCell id="475" r="D50" connectionId="0">
    <xmlCellPr id="1" uniqueName="1">
      <xmlPr mapId="43" xpath="/ns1:Root/ns1:F2/ns1:_Cumulative_Expenditures__in___" xmlDataType="string"/>
    </xmlCellPr>
  </singleXmlCell>
  <singleXmlCell id="476" r="C56" connectionId="0">
    <xmlCellPr id="1" uniqueName="1">
      <xmlPr mapId="43" xpath="/ns1:Root/ns1:F3/ns1:Disbursed_by_Global_Fund_Prior_to_reporting_period__in___" xmlDataType="double"/>
    </xmlCellPr>
  </singleXmlCell>
  <singleXmlCell id="477" r="D56" connectionId="0">
    <xmlCellPr id="1" uniqueName="1">
      <xmlPr mapId="43" xpath="/ns1:Root/ns1:F3/ns1:Disbursed_by_Global_Fund_Reporting_period__in___" xmlDataType="double"/>
    </xmlCellPr>
  </singleXmlCell>
  <singleXmlCell id="478" r="C57" connectionId="0">
    <xmlCellPr id="1" uniqueName="1">
      <xmlPr mapId="43" xpath="/ns1:Root/ns1:F3/ns1:PR_expenditure_and_disbursement_Prior_to_reporting_period__in___" xmlDataType="double"/>
    </xmlCellPr>
  </singleXmlCell>
  <singleXmlCell id="479" r="D57" connectionId="0">
    <xmlCellPr id="1" uniqueName="1">
      <xmlPr mapId="43" xpath="/ns1:Root/ns1:F3/ns1:PR_expenditure_and_disbursement_Reporting_period__in___" xmlDataType="double"/>
    </xmlCellPr>
  </singleXmlCell>
  <singleXmlCell id="480" r="C58" connectionId="0">
    <xmlCellPr id="1" uniqueName="1">
      <xmlPr mapId="43" xpath="/ns1:Root/ns1:F3/ns1:Disbursed_to_SRs_Prior_to_reporting_period__in___" xmlDataType="double"/>
    </xmlCellPr>
  </singleXmlCell>
  <singleXmlCell id="481" r="D58" connectionId="0">
    <xmlCellPr id="1" uniqueName="1">
      <xmlPr mapId="43" xpath="/ns1:Root/ns1:F3/ns1:Disbursed_to_SRs_Reporting_period__in___" xmlDataType="double"/>
    </xmlCellPr>
  </singleXmlCell>
  <singleXmlCell id="482" r="C59" connectionId="0">
    <xmlCellPr id="1" uniqueName="1">
      <xmlPr mapId="43" xpath="/ns1:Root/ns1:F3/ns1:SR_expenditures_Prior_to_reporting_period__in___" xmlDataType="double"/>
    </xmlCellPr>
  </singleXmlCell>
  <singleXmlCell id="483" r="D59" connectionId="0">
    <xmlCellPr id="1" uniqueName="1">
      <xmlPr mapId="43" xpath="/ns1:Root/ns1:F3/ns1:SR_expenditures_Reporting_period__in___" xmlDataType="double"/>
    </xmlCellPr>
  </singleXmlCell>
  <singleXmlCell id="484" r="C66" connectionId="0">
    <xmlCellPr id="1" uniqueName="1">
      <xmlPr mapId="43" xpath="/ns1:Root/ns1:F4/ns1:Days_taken_to_submit_acceptable_PU_DR_to_LFA_Expected__days_" xmlDataType="double"/>
    </xmlCellPr>
  </singleXmlCell>
  <singleXmlCell id="485" r="D66" connectionId="0">
    <xmlCellPr id="1" uniqueName="1">
      <xmlPr mapId="43" xpath="/ns1:Root/ns1:F4/ns1:Days_taken_to_submit_acceptable_PU_DR_to_LFA_Actual__days_" xmlDataType="double"/>
    </xmlCellPr>
  </singleXmlCell>
  <singleXmlCell id="486" r="C67" connectionId="0">
    <xmlCellPr id="1" uniqueName="1">
      <xmlPr mapId="43" xpath="/ns1:Root/ns1:F4/ns1:Days_taken_for_disbursement_to_reach_PR_Expected__days_" xmlDataType="double"/>
    </xmlCellPr>
  </singleXmlCell>
  <singleXmlCell id="487" r="D67" connectionId="0">
    <xmlCellPr id="1" uniqueName="1">
      <xmlPr mapId="43" xpath="/ns1:Root/ns1:F4/ns1:Days_taken_for_disbursement_to_reach_PR_Actual__days_" xmlDataType="double"/>
    </xmlCellPr>
  </singleXmlCell>
  <singleXmlCell id="488" r="C68" connectionId="0">
    <xmlCellPr id="1" uniqueName="1">
      <xmlPr mapId="43" xpath="/ns1:Root/ns1:F4/ns1:Days_taken_for_disbursement_to_reach_SRs__Expected__days_" xmlDataType="double"/>
    </xmlCellPr>
  </singleXmlCell>
  <singleXmlCell id="489" r="D68" connectionId="0">
    <xmlCellPr id="1" uniqueName="1">
      <xmlPr mapId="43" xpath="/ns1:Root/ns1:F4/ns1:Days_taken_for_disbursement_to_reach_SRs__Actual__days_" xmlDataType="double"/>
    </xmlCellPr>
  </singleXmlCell>
  <singleXmlCell id="490" r="B76" connectionId="0">
    <xmlCellPr id="1" uniqueName="1">
      <xmlPr mapId="43" xpath="/ns1:Root/ns1:M1/ns1:Conditions_precedents__CPs__" xmlDataType="string"/>
    </xmlCellPr>
  </singleXmlCell>
  <singleXmlCell id="491" r="D76" connectionId="0">
    <xmlCellPr id="1" uniqueName="1">
      <xmlPr mapId="43" xpath="/ns1:Root/ns1:M1/ns1:Conditions_precedents__CPs__Fulfilled" xmlDataType="double"/>
    </xmlCellPr>
  </singleXmlCell>
  <singleXmlCell id="492" r="E76" connectionId="0">
    <xmlCellPr id="1" uniqueName="1">
      <xmlPr mapId="43" xpath="/ns1:Root/ns1:M1/ns1:Conditions_precedents__CPs__Not_fulfilled__but_within_deadline" xmlDataType="double"/>
    </xmlCellPr>
  </singleXmlCell>
  <singleXmlCell id="493" r="F76" connectionId="0">
    <xmlCellPr id="1" uniqueName="1">
      <xmlPr mapId="43" xpath="/ns1:Root/ns1:M1/ns1:Conditions_precedents__CPs__Not_fulfilled__and_past_the_deadline" xmlDataType="double"/>
    </xmlCellPr>
  </singleXmlCell>
  <singleXmlCell id="494" r="B77" connectionId="0">
    <xmlCellPr id="1" uniqueName="1">
      <xmlPr mapId="43" xpath="/ns1:Root/ns1:M1/ns1:Time_Bound_Actions__TBAs__" xmlDataType="string"/>
    </xmlCellPr>
  </singleXmlCell>
  <singleXmlCell id="495" r="D77" connectionId="0">
    <xmlCellPr id="1" uniqueName="1">
      <xmlPr mapId="43" xpath="/ns1:Root/ns1:M1/ns1:Time_Bound_Actions__TBAs__Fulfilled" xmlDataType="double"/>
    </xmlCellPr>
  </singleXmlCell>
  <singleXmlCell id="496" r="E77" connectionId="0">
    <xmlCellPr id="1" uniqueName="1">
      <xmlPr mapId="43" xpath="/ns1:Root/ns1:M1/ns1:Time_Bound_Actions__TBAs__Not_fulfilled__but_within_deadline" xmlDataType="string"/>
    </xmlCellPr>
  </singleXmlCell>
  <singleXmlCell id="497" r="F77" connectionId="0">
    <xmlCellPr id="1" uniqueName="1">
      <xmlPr mapId="43" xpath="/ns1:Root/ns1:M1/ns1:Time_Bound_Actions__TBAs__Not_fulfilled__and_past_the_deadline" xmlDataType="double"/>
    </xmlCellPr>
  </singleXmlCell>
  <singleXmlCell id="498" r="C83" connectionId="0">
    <xmlCellPr id="1" uniqueName="1">
      <xmlPr mapId="43" xpath="/ns1:Root/ns1:M2/ns1:PMU_Planned" xmlDataType="double"/>
    </xmlCellPr>
  </singleXmlCell>
  <singleXmlCell id="499" r="D83" connectionId="0">
    <xmlCellPr id="1" uniqueName="1">
      <xmlPr mapId="43" xpath="/ns1:Root/ns1:M2/ns1:PMU_Filled" xmlDataType="double"/>
    </xmlCellPr>
  </singleXmlCell>
  <singleXmlCell id="500" r="C88" connectionId="0">
    <xmlCellPr id="1" uniqueName="1">
      <xmlPr mapId="43" xpath="/ns1:Root/ns1:M3/ns1:SRs_Identified" xmlDataType="double"/>
    </xmlCellPr>
  </singleXmlCell>
  <singleXmlCell id="501" r="D88" connectionId="0">
    <xmlCellPr id="1" uniqueName="1">
      <xmlPr mapId="43" xpath="/ns1:Root/ns1:M3/ns1:SRs_Assessed" xmlDataType="double"/>
    </xmlCellPr>
  </singleXmlCell>
  <singleXmlCell id="502" r="E88" connectionId="0">
    <xmlCellPr id="1" uniqueName="1">
      <xmlPr mapId="43" xpath="/ns1:Root/ns1:M3/ns1:SRs_Approved" xmlDataType="double"/>
    </xmlCellPr>
  </singleXmlCell>
  <singleXmlCell id="503" r="F88" connectionId="0">
    <xmlCellPr id="1" uniqueName="1">
      <xmlPr mapId="43" xpath="/ns1:Root/ns1:M3/ns1:SRs_Signed" xmlDataType="double"/>
    </xmlCellPr>
  </singleXmlCell>
  <singleXmlCell id="504" r="G88" connectionId="0">
    <xmlCellPr id="1" uniqueName="1">
      <xmlPr mapId="43" xpath="/ns1:Root/ns1:M3/ns1:SRs_Receiving_Funding" xmlDataType="double"/>
    </xmlCellPr>
  </singleXmlCell>
  <singleXmlCell id="506" r="C93" connectionId="0">
    <xmlCellPr id="1" uniqueName="1">
      <xmlPr mapId="43" xpath="/ns1:Root/ns1:M4/ns1:SSR_to_SR__IR_____Expected" xmlDataType="string"/>
    </xmlCellPr>
  </singleXmlCell>
  <singleXmlCell id="507" r="D93" connectionId="0">
    <xmlCellPr id="1" uniqueName="1">
      <xmlPr mapId="43" xpath="/ns1:Root/ns1:M4/ns1:SSR_to_SR__IR____Received" xmlDataType="string"/>
    </xmlCellPr>
  </singleXmlCell>
  <singleXmlCell id="509" r="C94" connectionId="0">
    <xmlCellPr id="1" uniqueName="1">
      <xmlPr mapId="43" xpath="/ns1:Root/ns1:M4/ns1:SRs__IRs__to_PR____Expected" xmlDataType="double"/>
    </xmlCellPr>
  </singleXmlCell>
  <singleXmlCell id="510" r="D94" connectionId="0">
    <xmlCellPr id="1" uniqueName="1">
      <xmlPr mapId="43" xpath="/ns1:Root/ns1:M4/ns1:SRs__IRs__to_PR___Received" xmlDataType="double"/>
    </xmlCellPr>
  </singleXmlCell>
  <singleXmlCell id="511" r="C99" connectionId="0">
    <xmlCellPr id="1" uniqueName="1">
      <xmlPr mapId="43" xpath="/ns1:Root/ns1:M5/ns1:Budget_Approved__P1" xmlDataType="double"/>
    </xmlCellPr>
  </singleXmlCell>
  <singleXmlCell id="512" r="D99" connectionId="0">
    <xmlCellPr id="1" uniqueName="1">
      <xmlPr mapId="43" xpath="/ns1:Root/ns1:M5/ns1:Budget_Approved__P2" xmlDataType="double"/>
    </xmlCellPr>
  </singleXmlCell>
  <singleXmlCell id="513" r="E99" connectionId="0">
    <xmlCellPr id="1" uniqueName="1">
      <xmlPr mapId="43" xpath="/ns1:Root/ns1:M5/ns1:Budget_Approved__P3" xmlDataType="double"/>
    </xmlCellPr>
  </singleXmlCell>
  <singleXmlCell id="514" r="F99" connectionId="0">
    <xmlCellPr id="1" uniqueName="1">
      <xmlPr mapId="43" xpath="/ns1:Root/ns1:M5/ns1:Budget_Approved__P4" xmlDataType="double"/>
    </xmlCellPr>
  </singleXmlCell>
  <singleXmlCell id="515" r="G99" connectionId="0">
    <xmlCellPr id="1" uniqueName="1">
      <xmlPr mapId="43" xpath="/ns1:Root/ns1:M5/ns1:Budget_Approved__P5" xmlDataType="double"/>
    </xmlCellPr>
  </singleXmlCell>
  <singleXmlCell id="516" r="H99" connectionId="0">
    <xmlCellPr id="1" uniqueName="1">
      <xmlPr mapId="43" xpath="/ns1:Root/ns1:M5/ns1:Budget_Approved__P6" xmlDataType="double"/>
    </xmlCellPr>
  </singleXmlCell>
  <singleXmlCell id="517" r="I99" connectionId="0">
    <xmlCellPr id="1" uniqueName="1">
      <xmlPr mapId="43" xpath="/ns1:Root/ns1:M5/ns1:Budget_Approved__P7" xmlDataType="double"/>
    </xmlCellPr>
  </singleXmlCell>
  <singleXmlCell id="518" r="J99" connectionId="0">
    <xmlCellPr id="1" uniqueName="1">
      <xmlPr mapId="43" xpath="/ns1:Root/ns1:M5/ns1:Budget_Approved__P8" xmlDataType="double"/>
    </xmlCellPr>
  </singleXmlCell>
  <singleXmlCell id="519" r="K99" connectionId="0">
    <xmlCellPr id="1" uniqueName="1">
      <xmlPr mapId="43" xpath="/ns1:Root/ns1:M5/ns1:Budget_Approved__P9" xmlDataType="double"/>
    </xmlCellPr>
  </singleXmlCell>
  <singleXmlCell id="520" r="L99" connectionId="0">
    <xmlCellPr id="1" uniqueName="1">
      <xmlPr mapId="43" xpath="/ns1:Root/ns1:M5/ns1:Budget_Approved__P10" xmlDataType="double"/>
    </xmlCellPr>
  </singleXmlCell>
  <singleXmlCell id="521" r="M99" connectionId="0">
    <xmlCellPr id="1" uniqueName="1">
      <xmlPr mapId="43" xpath="/ns1:Root/ns1:M5/ns1:Budget_Approved__P11" xmlDataType="double"/>
    </xmlCellPr>
  </singleXmlCell>
  <singleXmlCell id="522" r="N99" connectionId="0">
    <xmlCellPr id="1" uniqueName="1">
      <xmlPr mapId="43" xpath="/ns1:Root/ns1:M5/ns1:Budget_Approved__P12" xmlDataType="double"/>
    </xmlCellPr>
  </singleXmlCell>
  <singleXmlCell id="523" r="C100" connectionId="0">
    <xmlCellPr id="1" uniqueName="1">
      <xmlPr mapId="43" xpath="/ns1:Root/ns1:M5/ns1:Obligations_P1" xmlDataType="double"/>
    </xmlCellPr>
  </singleXmlCell>
  <singleXmlCell id="524" r="D100" connectionId="0">
    <xmlCellPr id="1" uniqueName="1">
      <xmlPr mapId="43" xpath="/ns1:Root/ns1:M5/ns1:Obligations_P2" xmlDataType="double"/>
    </xmlCellPr>
  </singleXmlCell>
  <singleXmlCell id="525" r="E100" connectionId="0">
    <xmlCellPr id="1" uniqueName="1">
      <xmlPr mapId="43" xpath="/ns1:Root/ns1:M5/ns1:Obligations_P3" xmlDataType="double"/>
    </xmlCellPr>
  </singleXmlCell>
  <singleXmlCell id="526" r="F100" connectionId="0">
    <xmlCellPr id="1" uniqueName="1">
      <xmlPr mapId="43" xpath="/ns1:Root/ns1:M5/ns1:Obligations_P4" xmlDataType="double"/>
    </xmlCellPr>
  </singleXmlCell>
  <singleXmlCell id="527" r="G100" connectionId="0">
    <xmlCellPr id="1" uniqueName="1">
      <xmlPr mapId="43" xpath="/ns1:Root/ns1:M5/ns1:Obligations_P5" xmlDataType="double"/>
    </xmlCellPr>
  </singleXmlCell>
  <singleXmlCell id="528" r="H100" connectionId="0">
    <xmlCellPr id="1" uniqueName="1">
      <xmlPr mapId="43" xpath="/ns1:Root/ns1:M5/ns1:Obligations_P6" xmlDataType="double"/>
    </xmlCellPr>
  </singleXmlCell>
  <singleXmlCell id="529" r="I100" connectionId="0">
    <xmlCellPr id="1" uniqueName="1">
      <xmlPr mapId="43" xpath="/ns1:Root/ns1:M5/ns1:Obligations_P7" xmlDataType="double"/>
    </xmlCellPr>
  </singleXmlCell>
  <singleXmlCell id="530" r="J100" connectionId="0">
    <xmlCellPr id="1" uniqueName="1">
      <xmlPr mapId="43" xpath="/ns1:Root/ns1:M5/ns1:Obligations_P8" xmlDataType="double"/>
    </xmlCellPr>
  </singleXmlCell>
  <singleXmlCell id="531" r="K100" connectionId="0">
    <xmlCellPr id="1" uniqueName="1">
      <xmlPr mapId="43" xpath="/ns1:Root/ns1:M5/ns1:Obligations_P9" xmlDataType="double"/>
    </xmlCellPr>
  </singleXmlCell>
  <singleXmlCell id="532" r="L100" connectionId="0">
    <xmlCellPr id="1" uniqueName="1">
      <xmlPr mapId="43" xpath="/ns1:Root/ns1:M5/ns1:Obligations_P10" xmlDataType="double"/>
    </xmlCellPr>
  </singleXmlCell>
  <singleXmlCell id="533" r="M100" connectionId="0">
    <xmlCellPr id="1" uniqueName="1">
      <xmlPr mapId="43" xpath="/ns1:Root/ns1:M5/ns1:Obligations_P11" xmlDataType="double"/>
    </xmlCellPr>
  </singleXmlCell>
  <singleXmlCell id="534" r="N100" connectionId="0">
    <xmlCellPr id="1" uniqueName="1">
      <xmlPr mapId="43" xpath="/ns1:Root/ns1:M5/ns1:Obligations_P12" xmlDataType="double"/>
    </xmlCellPr>
  </singleXmlCell>
  <singleXmlCell id="535" r="C101" connectionId="0">
    <xmlCellPr id="1" uniqueName="1">
      <xmlPr mapId="43" xpath="/ns1:Root/ns1:M5/ns1:Expenditures_P1" xmlDataType="double"/>
    </xmlCellPr>
  </singleXmlCell>
  <singleXmlCell id="536" r="D101" connectionId="0">
    <xmlCellPr id="1" uniqueName="1">
      <xmlPr mapId="43" xpath="/ns1:Root/ns1:M5/ns1:Expenditures_P2" xmlDataType="double"/>
    </xmlCellPr>
  </singleXmlCell>
  <singleXmlCell id="537" r="E101" connectionId="0">
    <xmlCellPr id="1" uniqueName="1">
      <xmlPr mapId="43" xpath="/ns1:Root/ns1:M5/ns1:Expenditures_P3" xmlDataType="double"/>
    </xmlCellPr>
  </singleXmlCell>
  <singleXmlCell id="538" r="F101" connectionId="0">
    <xmlCellPr id="1" uniqueName="1">
      <xmlPr mapId="43" xpath="/ns1:Root/ns1:M5/ns1:Expenditures_P4" xmlDataType="double"/>
    </xmlCellPr>
  </singleXmlCell>
  <singleXmlCell id="539" r="G101" connectionId="0">
    <xmlCellPr id="1" uniqueName="1">
      <xmlPr mapId="43" xpath="/ns1:Root/ns1:M5/ns1:Expenditures_P5" xmlDataType="double"/>
    </xmlCellPr>
  </singleXmlCell>
  <singleXmlCell id="540" r="H101" connectionId="0">
    <xmlCellPr id="1" uniqueName="1">
      <xmlPr mapId="43" xpath="/ns1:Root/ns1:M5/ns1:Expenditures_P6" xmlDataType="double"/>
    </xmlCellPr>
  </singleXmlCell>
  <singleXmlCell id="541" r="I101" connectionId="0">
    <xmlCellPr id="1" uniqueName="1">
      <xmlPr mapId="43" xpath="/ns1:Root/ns1:M5/ns1:Expenditures_P7" xmlDataType="double"/>
    </xmlCellPr>
  </singleXmlCell>
  <singleXmlCell id="542" r="J101" connectionId="0">
    <xmlCellPr id="1" uniqueName="1">
      <xmlPr mapId="43" xpath="/ns1:Root/ns1:M5/ns1:Expenditures_P8" xmlDataType="double"/>
    </xmlCellPr>
  </singleXmlCell>
  <singleXmlCell id="543" r="K101" connectionId="0">
    <xmlCellPr id="1" uniqueName="1">
      <xmlPr mapId="43" xpath="/ns1:Root/ns1:M5/ns1:Expenditures_P9" xmlDataType="double"/>
    </xmlCellPr>
  </singleXmlCell>
  <singleXmlCell id="544" r="L101" connectionId="0">
    <xmlCellPr id="1" uniqueName="1">
      <xmlPr mapId="43" xpath="/ns1:Root/ns1:M5/ns1:Expenditures_P10" xmlDataType="double"/>
    </xmlCellPr>
  </singleXmlCell>
  <singleXmlCell id="545" r="M101" connectionId="0">
    <xmlCellPr id="1" uniqueName="1">
      <xmlPr mapId="43" xpath="/ns1:Root/ns1:M5/ns1:Expenditures_P11" xmlDataType="double"/>
    </xmlCellPr>
  </singleXmlCell>
  <singleXmlCell id="546" r="N101" connectionId="0">
    <xmlCellPr id="1" uniqueName="1">
      <xmlPr mapId="43" xpath="/ns1:Root/ns1:M5/ns1:Expenditures_P12" xmlDataType="double"/>
    </xmlCellPr>
  </singleXmlCell>
  <singleXmlCell id="547" r="C112" connectionId="0">
    <xmlCellPr id="1" uniqueName="1">
      <xmlPr mapId="43" xpath="/ns1:Root/ns1:M6/ns1:HIV___AIDS_Products" xmlDataType="string"/>
    </xmlCellPr>
  </singleXmlCell>
  <singleXmlCell id="548" r="D112" connectionId="0">
    <xmlCellPr id="1" uniqueName="1">
      <xmlPr mapId="43" xpath="/ns1:Root/ns1:M6/ns1:HIV___AIDS__1__Number_of_tablets_per_patient_per_day__Review_country_treatment_guidelines_" xmlDataType="double"/>
    </xmlCellPr>
  </singleXmlCell>
  <singleXmlCell id="549" r="F112" connectionId="0">
    <xmlCellPr id="1" uniqueName="1">
      <xmlPr mapId="43" xpath="/ns1:Root/ns1:M6/ns1:HIV___AIDS__3__Total_patients_in_treatment" xmlDataType="double"/>
    </xmlCellPr>
  </singleXmlCell>
  <singleXmlCell id="550" r="H112" connectionId="0">
    <xmlCellPr id="1" uniqueName="1">
      <xmlPr mapId="43" xpath="/ns1:Root/ns1:M6/ns1:HIV___AIDS__5__Current_stock_in_central_warehouse__that_does_not_expire_within_the_next_3_months_" xmlDataType="double"/>
    </xmlCellPr>
  </singleXmlCell>
  <singleXmlCell id="551" r="J112" connectionId="0">
    <xmlCellPr id="1" uniqueName="1">
      <xmlPr mapId="43" xpath="/ns1:Root/ns1:M6/ns1:HIV___AIDS__7__Level_of_safety_stock__expressed_in_months_and_defined_by_country__" xmlDataType="double"/>
    </xmlCellPr>
  </singleXmlCell>
  <singleXmlCell id="552" r="C113" connectionId="0">
    <xmlCellPr id="1" uniqueName="1">
      <xmlPr mapId="43" xpath="/ns1:Root/ns1:M6/ns1:_Products_1" xmlDataType="string"/>
    </xmlCellPr>
  </singleXmlCell>
  <singleXmlCell id="553" r="D113" connectionId="0">
    <xmlCellPr id="1" uniqueName="1">
      <xmlPr mapId="43" xpath="/ns1:Root/ns1:M6/ns1:__1__Number_of_tablets_per_patient_per_day__Review_country_treatment_guidelines__1" xmlDataType="double"/>
    </xmlCellPr>
  </singleXmlCell>
  <singleXmlCell id="554" r="F113" connectionId="0">
    <xmlCellPr id="1" uniqueName="1">
      <xmlPr mapId="43" xpath="/ns1:Root/ns1:M6/ns1:__3__Total_patients_in_treatment_1" xmlDataType="double"/>
    </xmlCellPr>
  </singleXmlCell>
  <singleXmlCell id="555" r="H113" connectionId="0">
    <xmlCellPr id="1" uniqueName="1">
      <xmlPr mapId="43" xpath="/ns1:Root/ns1:M6/ns1:__5__Current_stock_in_central_warehouse__that_does_not_expire_within_the_next_3_months__1" xmlDataType="double"/>
    </xmlCellPr>
  </singleXmlCell>
  <singleXmlCell id="556" r="J113" connectionId="0">
    <xmlCellPr id="1" uniqueName="1">
      <xmlPr mapId="43" xpath="/ns1:Root/ns1:M6/ns1:__7__Level_of_safety_stock__expressed_in_months_and_defined_by_country___1" xmlDataType="double"/>
    </xmlCellPr>
  </singleXmlCell>
  <singleXmlCell id="557" r="C114" connectionId="0">
    <xmlCellPr id="1" uniqueName="1">
      <xmlPr mapId="43" xpath="/ns1:Root/ns1:M6/ns1:_Products_2" xmlDataType="string"/>
    </xmlCellPr>
  </singleXmlCell>
  <singleXmlCell id="558" r="D114" connectionId="0">
    <xmlCellPr id="1" uniqueName="1">
      <xmlPr mapId="43" xpath="/ns1:Root/ns1:M6/ns1:__1__Number_of_tablets_per_patient_per_day__Review_country_treatment_guidelines__2" xmlDataType="double"/>
    </xmlCellPr>
  </singleXmlCell>
  <singleXmlCell id="559" r="F114" connectionId="0">
    <xmlCellPr id="1" uniqueName="1">
      <xmlPr mapId="43" xpath="/ns1:Root/ns1:M6/ns1:__3__Total_patients_in_treatment_2" xmlDataType="double"/>
    </xmlCellPr>
  </singleXmlCell>
  <singleXmlCell id="560" r="H114" connectionId="0">
    <xmlCellPr id="1" uniqueName="1">
      <xmlPr mapId="43" xpath="/ns1:Root/ns1:M6/ns1:__5__Current_stock_in_central_warehouse__that_does_not_expire_within_the_next_3_months__2" xmlDataType="double"/>
    </xmlCellPr>
  </singleXmlCell>
  <singleXmlCell id="561" r="J114" connectionId="0">
    <xmlCellPr id="1" uniqueName="1">
      <xmlPr mapId="43" xpath="/ns1:Root/ns1:M6/ns1:__7__Level_of_safety_stock__expressed_in_months_and_defined_by_country___2" xmlDataType="double"/>
    </xmlCellPr>
  </singleXmlCell>
  <singleXmlCell id="562" r="C115" connectionId="0">
    <xmlCellPr id="1" uniqueName="1">
      <xmlPr mapId="43" xpath="/ns1:Root/ns1:M6/ns1:_Products" xmlDataType="string"/>
    </xmlCellPr>
  </singleXmlCell>
  <singleXmlCell id="563" r="D115" connectionId="0">
    <xmlCellPr id="1" uniqueName="1">
      <xmlPr mapId="43" xpath="/ns1:Root/ns1:M6/ns1:__1__Number_of_tablets_per_patient_per_day__Review_country_treatment_guidelines_" xmlDataType="double"/>
    </xmlCellPr>
  </singleXmlCell>
  <singleXmlCell id="564" r="F115" connectionId="0">
    <xmlCellPr id="1" uniqueName="1">
      <xmlPr mapId="43" xpath="/ns1:Root/ns1:M6/ns1:__3__Total_patients_in_treatment" xmlDataType="double"/>
    </xmlCellPr>
  </singleXmlCell>
  <singleXmlCell id="565" r="H115" connectionId="0">
    <xmlCellPr id="1" uniqueName="1">
      <xmlPr mapId="43" xpath="/ns1:Root/ns1:M6/ns1:__5__Current_stock_in_central_warehouse__that_does_not_expire_within_the_next_3_months_" xmlDataType="double"/>
    </xmlCellPr>
  </singleXmlCell>
  <singleXmlCell id="566" r="J115" connectionId="0">
    <xmlCellPr id="1" uniqueName="1">
      <xmlPr mapId="43" xpath="/ns1:Root/ns1:M6/ns1:__7__Level_of_safety_stock__expressed_in_months_and_defined_by_country__" xmlDataType="double"/>
    </xmlCellPr>
  </singleXmlCell>
  <singleXmlCell id="567" r="H122" connectionId="0">
    <xmlCellPr id="1" uniqueName="1">
      <xmlPr mapId="43" xpath="/ns1:Root/ns1:Prog/ns1:Target_P1_1" xmlDataType="double"/>
    </xmlCellPr>
  </singleXmlCell>
  <singleXmlCell id="568" r="I122" connectionId="0">
    <xmlCellPr id="1" uniqueName="1">
      <xmlPr mapId="43" xpath="/ns1:Root/ns1:Prog/ns1:Target_P2_1" xmlDataType="double"/>
    </xmlCellPr>
  </singleXmlCell>
  <singleXmlCell id="569" r="J122" connectionId="0">
    <xmlCellPr id="1" uniqueName="1">
      <xmlPr mapId="43" xpath="/ns1:Root/ns1:Prog/ns1:Target_P3_1" xmlDataType="double"/>
    </xmlCellPr>
  </singleXmlCell>
  <singleXmlCell id="570" r="K122" connectionId="0">
    <xmlCellPr id="1" uniqueName="1">
      <xmlPr mapId="43" xpath="/ns1:Root/ns1:Prog/ns1:Target_P4_1" xmlDataType="double"/>
    </xmlCellPr>
  </singleXmlCell>
  <singleXmlCell id="571" r="L122" connectionId="0">
    <xmlCellPr id="1" uniqueName="1">
      <xmlPr mapId="43" xpath="/ns1:Root/ns1:Prog/ns1:Target_P5_1" xmlDataType="double"/>
    </xmlCellPr>
  </singleXmlCell>
  <singleXmlCell id="572" r="M122" connectionId="0">
    <xmlCellPr id="1" uniqueName="1">
      <xmlPr mapId="43" xpath="/ns1:Root/ns1:Prog/ns1:Target_P6_1" xmlDataType="double"/>
    </xmlCellPr>
  </singleXmlCell>
  <singleXmlCell id="573" r="N122" connectionId="0">
    <xmlCellPr id="1" uniqueName="1">
      <xmlPr mapId="43" xpath="/ns1:Root/ns1:Prog/ns1:Target_P7_1" xmlDataType="double"/>
    </xmlCellPr>
  </singleXmlCell>
  <singleXmlCell id="574" r="O122" connectionId="0">
    <xmlCellPr id="1" uniqueName="1">
      <xmlPr mapId="43" xpath="/ns1:Root/ns1:Prog/ns1:Target_P8_1" xmlDataType="double"/>
    </xmlCellPr>
  </singleXmlCell>
  <singleXmlCell id="575" r="P122" connectionId="0">
    <xmlCellPr id="1" uniqueName="1">
      <xmlPr mapId="43" xpath="/ns1:Root/ns1:Prog/ns1:Target_P9_1" xmlDataType="double"/>
    </xmlCellPr>
  </singleXmlCell>
  <singleXmlCell id="576" r="Q122" connectionId="0">
    <xmlCellPr id="1" uniqueName="1">
      <xmlPr mapId="43" xpath="/ns1:Root/ns1:Prog/ns1:Target_P10_1" xmlDataType="double"/>
    </xmlCellPr>
  </singleXmlCell>
  <singleXmlCell id="577" r="R122" connectionId="0">
    <xmlCellPr id="1" uniqueName="1">
      <xmlPr mapId="43" xpath="/ns1:Root/ns1:Prog/ns1:Target_P11_1" xmlDataType="double"/>
    </xmlCellPr>
  </singleXmlCell>
  <singleXmlCell id="578" r="S122" connectionId="0">
    <xmlCellPr id="1" uniqueName="1">
      <xmlPr mapId="43" xpath="/ns1:Root/ns1:Prog/ns1:Target_P12_1" xmlDataType="double"/>
    </xmlCellPr>
  </singleXmlCell>
  <singleXmlCell id="579" r="H123" connectionId="0">
    <xmlCellPr id="1" uniqueName="1">
      <xmlPr mapId="43" xpath="/ns1:Root/ns1:Prog/ns1:Achieved__P1_1" xmlDataType="double"/>
    </xmlCellPr>
  </singleXmlCell>
  <singleXmlCell id="580" r="I123" connectionId="0">
    <xmlCellPr id="1" uniqueName="1">
      <xmlPr mapId="43" xpath="/ns1:Root/ns1:Prog/ns1:Achieved__P2_1" xmlDataType="double"/>
    </xmlCellPr>
  </singleXmlCell>
  <singleXmlCell id="581" r="J123" connectionId="0">
    <xmlCellPr id="1" uniqueName="1">
      <xmlPr mapId="43" xpath="/ns1:Root/ns1:Prog/ns1:Achieved__P3_1" xmlDataType="double"/>
    </xmlCellPr>
  </singleXmlCell>
  <singleXmlCell id="582" r="K123" connectionId="0">
    <xmlCellPr id="1" uniqueName="1">
      <xmlPr mapId="43" xpath="/ns1:Root/ns1:Prog/ns1:Achieved__P4_1" xmlDataType="double"/>
    </xmlCellPr>
  </singleXmlCell>
  <singleXmlCell id="583" r="L123" connectionId="0">
    <xmlCellPr id="1" uniqueName="1">
      <xmlPr mapId="43" xpath="/ns1:Root/ns1:Prog/ns1:Achieved__P5_1" xmlDataType="string"/>
    </xmlCellPr>
  </singleXmlCell>
  <singleXmlCell id="584" r="M123" connectionId="0">
    <xmlCellPr id="1" uniqueName="1">
      <xmlPr mapId="43" xpath="/ns1:Root/ns1:Prog/ns1:Achieved__P6_1" xmlDataType="string"/>
    </xmlCellPr>
  </singleXmlCell>
  <singleXmlCell id="585" r="N123" connectionId="0">
    <xmlCellPr id="1" uniqueName="1">
      <xmlPr mapId="43" xpath="/ns1:Root/ns1:Prog/ns1:Achieved__P7_1" xmlDataType="string"/>
    </xmlCellPr>
  </singleXmlCell>
  <singleXmlCell id="587" r="P123" connectionId="0">
    <xmlCellPr id="1" uniqueName="1">
      <xmlPr mapId="43" xpath="/ns1:Root/ns1:Prog/ns1:Achieved__P9_1" xmlDataType="string"/>
    </xmlCellPr>
  </singleXmlCell>
  <singleXmlCell id="588" r="Q123" connectionId="0">
    <xmlCellPr id="1" uniqueName="1">
      <xmlPr mapId="43" xpath="/ns1:Root/ns1:Prog/ns1:Achieved__P10_1" xmlDataType="string"/>
    </xmlCellPr>
  </singleXmlCell>
  <singleXmlCell id="589" r="R123" connectionId="0">
    <xmlCellPr id="1" uniqueName="1">
      <xmlPr mapId="43" xpath="/ns1:Root/ns1:Prog/ns1:Achieved__P11_1" xmlDataType="string"/>
    </xmlCellPr>
  </singleXmlCell>
  <singleXmlCell id="590" r="S123" connectionId="0">
    <xmlCellPr id="1" uniqueName="1">
      <xmlPr mapId="43" xpath="/ns1:Root/ns1:Prog/ns1:Achieved__P12_1" xmlDataType="string"/>
    </xmlCellPr>
  </singleXmlCell>
  <singleXmlCell id="591" r="H124" connectionId="0">
    <xmlCellPr id="1" uniqueName="1">
      <xmlPr mapId="43" xpath="/ns1:Root/ns1:Prog/ns1:Target_P1_2" xmlDataType="double"/>
    </xmlCellPr>
  </singleXmlCell>
  <singleXmlCell id="592" r="I124" connectionId="0">
    <xmlCellPr id="1" uniqueName="1">
      <xmlPr mapId="43" xpath="/ns1:Root/ns1:Prog/ns1:Target_P2_2" xmlDataType="double"/>
    </xmlCellPr>
  </singleXmlCell>
  <singleXmlCell id="593" r="J124" connectionId="0">
    <xmlCellPr id="1" uniqueName="1">
      <xmlPr mapId="43" xpath="/ns1:Root/ns1:Prog/ns1:Target_P3_2" xmlDataType="double"/>
    </xmlCellPr>
  </singleXmlCell>
  <singleXmlCell id="594" r="L124" connectionId="0">
    <xmlCellPr id="1" uniqueName="1">
      <xmlPr mapId="43" xpath="/ns1:Root/ns1:Prog/ns1:Target_P5_2" xmlDataType="double"/>
    </xmlCellPr>
  </singleXmlCell>
  <singleXmlCell id="595" r="M124" connectionId="0">
    <xmlCellPr id="1" uniqueName="1">
      <xmlPr mapId="43" xpath="/ns1:Root/ns1:Prog/ns1:Target_P6_2" xmlDataType="double"/>
    </xmlCellPr>
  </singleXmlCell>
  <singleXmlCell id="596" r="N124" connectionId="0">
    <xmlCellPr id="1" uniqueName="1">
      <xmlPr mapId="43" xpath="/ns1:Root/ns1:Prog/ns1:Target_P7_2" xmlDataType="double"/>
    </xmlCellPr>
  </singleXmlCell>
  <singleXmlCell id="598" r="P124" connectionId="0">
    <xmlCellPr id="1" uniqueName="1">
      <xmlPr mapId="43" xpath="/ns1:Root/ns1:Prog/ns1:Target_P9_2" xmlDataType="double"/>
    </xmlCellPr>
  </singleXmlCell>
  <singleXmlCell id="599" r="Q124" connectionId="0">
    <xmlCellPr id="1" uniqueName="1">
      <xmlPr mapId="43" xpath="/ns1:Root/ns1:Prog/ns1:Target_P10_2" xmlDataType="double"/>
    </xmlCellPr>
  </singleXmlCell>
  <singleXmlCell id="600" r="R124" connectionId="0">
    <xmlCellPr id="1" uniqueName="1">
      <xmlPr mapId="43" xpath="/ns1:Root/ns1:Prog/ns1:Target_P11_2" xmlDataType="double"/>
    </xmlCellPr>
  </singleXmlCell>
  <singleXmlCell id="601" r="S124" connectionId="0">
    <xmlCellPr id="1" uniqueName="1">
      <xmlPr mapId="43" xpath="/ns1:Root/ns1:Prog/ns1:Target_P12_2" xmlDataType="double"/>
    </xmlCellPr>
  </singleXmlCell>
  <singleXmlCell id="602" r="H125" connectionId="0">
    <xmlCellPr id="1" uniqueName="1">
      <xmlPr mapId="43" xpath="/ns1:Root/ns1:Prog/ns1:Achieved__P1_2" xmlDataType="double"/>
    </xmlCellPr>
  </singleXmlCell>
  <singleXmlCell id="603" r="I125" connectionId="0">
    <xmlCellPr id="1" uniqueName="1">
      <xmlPr mapId="43" xpath="/ns1:Root/ns1:Prog/ns1:Achieved__P2_2" xmlDataType="double"/>
    </xmlCellPr>
  </singleXmlCell>
  <singleXmlCell id="604" r="J125" connectionId="0">
    <xmlCellPr id="1" uniqueName="1">
      <xmlPr mapId="43" xpath="/ns1:Root/ns1:Prog/ns1:Achieved__P3_2" xmlDataType="double"/>
    </xmlCellPr>
  </singleXmlCell>
  <singleXmlCell id="605" r="K125" connectionId="0">
    <xmlCellPr id="1" uniqueName="1">
      <xmlPr mapId="43" xpath="/ns1:Root/ns1:Prog/ns1:Achieved__P4_2" xmlDataType="double"/>
    </xmlCellPr>
  </singleXmlCell>
  <singleXmlCell id="606" r="L125" connectionId="0">
    <xmlCellPr id="1" uniqueName="1">
      <xmlPr mapId="43" xpath="/ns1:Root/ns1:Prog/ns1:Achieved__P5_2" xmlDataType="string"/>
    </xmlCellPr>
  </singleXmlCell>
  <singleXmlCell id="607" r="M125" connectionId="0">
    <xmlCellPr id="1" uniqueName="1">
      <xmlPr mapId="43" xpath="/ns1:Root/ns1:Prog/ns1:Achieved__P6_2" xmlDataType="string"/>
    </xmlCellPr>
  </singleXmlCell>
  <singleXmlCell id="608" r="N125" connectionId="0">
    <xmlCellPr id="1" uniqueName="1">
      <xmlPr mapId="43" xpath="/ns1:Root/ns1:Prog/ns1:Achieved__P7_2" xmlDataType="string"/>
    </xmlCellPr>
  </singleXmlCell>
  <singleXmlCell id="610" r="P125" connectionId="0">
    <xmlCellPr id="1" uniqueName="1">
      <xmlPr mapId="43" xpath="/ns1:Root/ns1:Prog/ns1:Achieved__P9_2" xmlDataType="string"/>
    </xmlCellPr>
  </singleXmlCell>
  <singleXmlCell id="611" r="Q125" connectionId="0">
    <xmlCellPr id="1" uniqueName="1">
      <xmlPr mapId="43" xpath="/ns1:Root/ns1:Prog/ns1:Achieved__P10_2" xmlDataType="string"/>
    </xmlCellPr>
  </singleXmlCell>
  <singleXmlCell id="612" r="R125" connectionId="0">
    <xmlCellPr id="1" uniqueName="1">
      <xmlPr mapId="43" xpath="/ns1:Root/ns1:Prog/ns1:Achieved__P11_2" xmlDataType="string"/>
    </xmlCellPr>
  </singleXmlCell>
  <singleXmlCell id="613" r="S125" connectionId="0">
    <xmlCellPr id="1" uniqueName="1">
      <xmlPr mapId="43" xpath="/ns1:Root/ns1:Prog/ns1:Achieved__P12_2" xmlDataType="string"/>
    </xmlCellPr>
  </singleXmlCell>
  <singleXmlCell id="614" r="H126" connectionId="0">
    <xmlCellPr id="1" uniqueName="1">
      <xmlPr mapId="43" xpath="/ns1:Root/ns1:Prog/ns1:Target_P1_3" xmlDataType="double"/>
    </xmlCellPr>
  </singleXmlCell>
  <singleXmlCell id="615" r="I126" connectionId="0">
    <xmlCellPr id="1" uniqueName="1">
      <xmlPr mapId="43" xpath="/ns1:Root/ns1:Prog/ns1:Target_P2_3" xmlDataType="double"/>
    </xmlCellPr>
  </singleXmlCell>
  <singleXmlCell id="616" r="J126" connectionId="0">
    <xmlCellPr id="1" uniqueName="1">
      <xmlPr mapId="43" xpath="/ns1:Root/ns1:Prog/ns1:Target_P3_3" xmlDataType="double"/>
    </xmlCellPr>
  </singleXmlCell>
  <singleXmlCell id="617" r="K126" connectionId="0">
    <xmlCellPr id="1" uniqueName="1">
      <xmlPr mapId="43" xpath="/ns1:Root/ns1:Prog/ns1:Target_P4_3" xmlDataType="double"/>
    </xmlCellPr>
  </singleXmlCell>
  <singleXmlCell id="618" r="L126" connectionId="0">
    <xmlCellPr id="1" uniqueName="1">
      <xmlPr mapId="43" xpath="/ns1:Root/ns1:Prog/ns1:Target_P5_3" xmlDataType="double"/>
    </xmlCellPr>
  </singleXmlCell>
  <singleXmlCell id="619" r="M126" connectionId="0">
    <xmlCellPr id="1" uniqueName="1">
      <xmlPr mapId="43" xpath="/ns1:Root/ns1:Prog/ns1:Target_P6_3" xmlDataType="double"/>
    </xmlCellPr>
  </singleXmlCell>
  <singleXmlCell id="620" r="N126" connectionId="0">
    <xmlCellPr id="1" uniqueName="1">
      <xmlPr mapId="43" xpath="/ns1:Root/ns1:Prog/ns1:Target_P7_3" xmlDataType="double"/>
    </xmlCellPr>
  </singleXmlCell>
  <singleXmlCell id="622" r="P126" connectionId="0">
    <xmlCellPr id="1" uniqueName="1">
      <xmlPr mapId="43" xpath="/ns1:Root/ns1:Prog/ns1:Target_P9_3" xmlDataType="double"/>
    </xmlCellPr>
  </singleXmlCell>
  <singleXmlCell id="623" r="Q126" connectionId="0">
    <xmlCellPr id="1" uniqueName="1">
      <xmlPr mapId="43" xpath="/ns1:Root/ns1:Prog/ns1:Target_P10_3" xmlDataType="string"/>
    </xmlCellPr>
  </singleXmlCell>
  <singleXmlCell id="624" r="R126" connectionId="0">
    <xmlCellPr id="1" uniqueName="1">
      <xmlPr mapId="43" xpath="/ns1:Root/ns1:Prog/ns1:Target_P11_3" xmlDataType="string"/>
    </xmlCellPr>
  </singleXmlCell>
  <singleXmlCell id="625" r="S126" connectionId="0">
    <xmlCellPr id="1" uniqueName="1">
      <xmlPr mapId="43" xpath="/ns1:Root/ns1:Prog/ns1:Target_P12_3" xmlDataType="double"/>
    </xmlCellPr>
  </singleXmlCell>
  <singleXmlCell id="626" r="H127" connectionId="0">
    <xmlCellPr id="1" uniqueName="1">
      <xmlPr mapId="43" xpath="/ns1:Root/ns1:Prog/ns1:Achieved__P1_3" xmlDataType="string"/>
    </xmlCellPr>
  </singleXmlCell>
  <singleXmlCell id="627" r="I127" connectionId="0">
    <xmlCellPr id="1" uniqueName="1">
      <xmlPr mapId="43" xpath="/ns1:Root/ns1:Prog/ns1:Achieved__P2_3" xmlDataType="double"/>
    </xmlCellPr>
  </singleXmlCell>
  <singleXmlCell id="628" r="J127" connectionId="0">
    <xmlCellPr id="1" uniqueName="1">
      <xmlPr mapId="43" xpath="/ns1:Root/ns1:Prog/ns1:Achieved__P3_3" xmlDataType="string"/>
    </xmlCellPr>
  </singleXmlCell>
  <singleXmlCell id="629" r="K127" connectionId="0">
    <xmlCellPr id="1" uniqueName="1">
      <xmlPr mapId="43" xpath="/ns1:Root/ns1:Prog/ns1:Achieved__P4_3" xmlDataType="double"/>
    </xmlCellPr>
  </singleXmlCell>
  <singleXmlCell id="630" r="L127" connectionId="0">
    <xmlCellPr id="1" uniqueName="1">
      <xmlPr mapId="43" xpath="/ns1:Root/ns1:Prog/ns1:Achieved__P5_3" xmlDataType="string"/>
    </xmlCellPr>
  </singleXmlCell>
  <singleXmlCell id="631" r="M127" connectionId="0">
    <xmlCellPr id="1" uniqueName="1">
      <xmlPr mapId="43" xpath="/ns1:Root/ns1:Prog/ns1:Achieved__P6_3" xmlDataType="string"/>
    </xmlCellPr>
  </singleXmlCell>
  <singleXmlCell id="632" r="N127" connectionId="0">
    <xmlCellPr id="1" uniqueName="1">
      <xmlPr mapId="43" xpath="/ns1:Root/ns1:Prog/ns1:Achieved__P7_3" xmlDataType="string"/>
    </xmlCellPr>
  </singleXmlCell>
  <singleXmlCell id="634" r="P127" connectionId="0">
    <xmlCellPr id="1" uniqueName="1">
      <xmlPr mapId="43" xpath="/ns1:Root/ns1:Prog/ns1:Achieved__P9_3" xmlDataType="string"/>
    </xmlCellPr>
  </singleXmlCell>
  <singleXmlCell id="635" r="Q127" connectionId="0">
    <xmlCellPr id="1" uniqueName="1">
      <xmlPr mapId="43" xpath="/ns1:Root/ns1:Prog/ns1:Achieved__P10_3" xmlDataType="string"/>
    </xmlCellPr>
  </singleXmlCell>
  <singleXmlCell id="636" r="R127" connectionId="0">
    <xmlCellPr id="1" uniqueName="1">
      <xmlPr mapId="43" xpath="/ns1:Root/ns1:Prog/ns1:Achieved__P11_3" xmlDataType="string"/>
    </xmlCellPr>
  </singleXmlCell>
  <singleXmlCell id="637" r="S127" connectionId="0">
    <xmlCellPr id="1" uniqueName="1">
      <xmlPr mapId="43" xpath="/ns1:Root/ns1:Prog/ns1:Achieved__P12_3" xmlDataType="string"/>
    </xmlCellPr>
  </singleXmlCell>
  <singleXmlCell id="638" r="H128" connectionId="0">
    <xmlCellPr id="1" uniqueName="1">
      <xmlPr mapId="43" xpath="/ns1:Root/ns1:Prog/ns1:Target_P1_4" xmlDataType="string"/>
    </xmlCellPr>
  </singleXmlCell>
  <singleXmlCell id="639" r="I128" connectionId="0">
    <xmlCellPr id="1" uniqueName="1">
      <xmlPr mapId="43" xpath="/ns1:Root/ns1:Prog/ns1:Target_P2_4" xmlDataType="string"/>
    </xmlCellPr>
  </singleXmlCell>
  <singleXmlCell id="640" r="J128" connectionId="0">
    <xmlCellPr id="1" uniqueName="1">
      <xmlPr mapId="43" xpath="/ns1:Root/ns1:Prog/ns1:Target_P3_4" xmlDataType="string"/>
    </xmlCellPr>
  </singleXmlCell>
  <singleXmlCell id="641" r="K128" connectionId="0">
    <xmlCellPr id="1" uniqueName="1">
      <xmlPr mapId="43" xpath="/ns1:Root/ns1:Prog/ns1:Target_P4_4" xmlDataType="double"/>
    </xmlCellPr>
  </singleXmlCell>
  <singleXmlCell id="642" r="L128" connectionId="0">
    <xmlCellPr id="1" uniqueName="1">
      <xmlPr mapId="43" xpath="/ns1:Root/ns1:Prog/ns1:Target_P5_4" xmlDataType="string"/>
    </xmlCellPr>
  </singleXmlCell>
  <singleXmlCell id="643" r="M128" connectionId="0">
    <xmlCellPr id="1" uniqueName="1">
      <xmlPr mapId="43" xpath="/ns1:Root/ns1:Prog/ns1:Target_P6_4" xmlDataType="string"/>
    </xmlCellPr>
  </singleXmlCell>
  <singleXmlCell id="644" r="N128" connectionId="0">
    <xmlCellPr id="1" uniqueName="1">
      <xmlPr mapId="43" xpath="/ns1:Root/ns1:Prog/ns1:Target_P7_4" xmlDataType="string"/>
    </xmlCellPr>
  </singleXmlCell>
  <singleXmlCell id="646" r="P128" connectionId="0">
    <xmlCellPr id="1" uniqueName="1">
      <xmlPr mapId="43" xpath="/ns1:Root/ns1:Prog/ns1:Target_P9_4" xmlDataType="string"/>
    </xmlCellPr>
  </singleXmlCell>
  <singleXmlCell id="647" r="Q128" connectionId="0">
    <xmlCellPr id="1" uniqueName="1">
      <xmlPr mapId="43" xpath="/ns1:Root/ns1:Prog/ns1:Target_P10_4" xmlDataType="string"/>
    </xmlCellPr>
  </singleXmlCell>
  <singleXmlCell id="648" r="R128" connectionId="0">
    <xmlCellPr id="1" uniqueName="1">
      <xmlPr mapId="43" xpath="/ns1:Root/ns1:Prog/ns1:Target_P11_4" xmlDataType="string"/>
    </xmlCellPr>
  </singleXmlCell>
  <singleXmlCell id="649" r="S128" connectionId="0">
    <xmlCellPr id="1" uniqueName="1">
      <xmlPr mapId="43" xpath="/ns1:Root/ns1:Prog/ns1:Target_P12_4" xmlDataType="double"/>
    </xmlCellPr>
  </singleXmlCell>
  <singleXmlCell id="650" r="H129" connectionId="0">
    <xmlCellPr id="1" uniqueName="1">
      <xmlPr mapId="43" xpath="/ns1:Root/ns1:Prog/ns1:Achieved__P1_4" xmlDataType="string"/>
    </xmlCellPr>
  </singleXmlCell>
  <singleXmlCell id="651" r="I129" connectionId="0">
    <xmlCellPr id="1" uniqueName="1">
      <xmlPr mapId="43" xpath="/ns1:Root/ns1:Prog/ns1:Achieved__P2_4" xmlDataType="string"/>
    </xmlCellPr>
  </singleXmlCell>
  <singleXmlCell id="652" r="J129" connectionId="0">
    <xmlCellPr id="1" uniqueName="1">
      <xmlPr mapId="43" xpath="/ns1:Root/ns1:Prog/ns1:Achieved__P3_4" xmlDataType="string"/>
    </xmlCellPr>
  </singleXmlCell>
  <singleXmlCell id="653" r="K129" connectionId="0">
    <xmlCellPr id="1" uniqueName="1">
      <xmlPr mapId="43" xpath="/ns1:Root/ns1:Prog/ns1:Achieved__P4_4" xmlDataType="double"/>
    </xmlCellPr>
  </singleXmlCell>
  <singleXmlCell id="654" r="L129" connectionId="0">
    <xmlCellPr id="1" uniqueName="1">
      <xmlPr mapId="43" xpath="/ns1:Root/ns1:Prog/ns1:Achieved__P5_4" xmlDataType="string"/>
    </xmlCellPr>
  </singleXmlCell>
  <singleXmlCell id="655" r="M129" connectionId="0">
    <xmlCellPr id="1" uniqueName="1">
      <xmlPr mapId="43" xpath="/ns1:Root/ns1:Prog/ns1:Achieved__P6_4" xmlDataType="string"/>
    </xmlCellPr>
  </singleXmlCell>
  <singleXmlCell id="656" r="N129" connectionId="0">
    <xmlCellPr id="1" uniqueName="1">
      <xmlPr mapId="43" xpath="/ns1:Root/ns1:Prog/ns1:Achieved__P7_4" xmlDataType="string"/>
    </xmlCellPr>
  </singleXmlCell>
  <singleXmlCell id="658" r="P129" connectionId="0">
    <xmlCellPr id="1" uniqueName="1">
      <xmlPr mapId="43" xpath="/ns1:Root/ns1:Prog/ns1:Achieved__P9_4" xmlDataType="string"/>
    </xmlCellPr>
  </singleXmlCell>
  <singleXmlCell id="659" r="Q129" connectionId="0">
    <xmlCellPr id="1" uniqueName="1">
      <xmlPr mapId="43" xpath="/ns1:Root/ns1:Prog/ns1:Achieved__P10_4" xmlDataType="string"/>
    </xmlCellPr>
  </singleXmlCell>
  <singleXmlCell id="660" r="R129" connectionId="0">
    <xmlCellPr id="1" uniqueName="1">
      <xmlPr mapId="43" xpath="/ns1:Root/ns1:Prog/ns1:Achieved__P11_4" xmlDataType="string"/>
    </xmlCellPr>
  </singleXmlCell>
  <singleXmlCell id="661" r="S129" connectionId="0">
    <xmlCellPr id="1" uniqueName="1">
      <xmlPr mapId="43" xpath="/ns1:Root/ns1:Prog/ns1:Achieved__P12_4" xmlDataType="string"/>
    </xmlCellPr>
  </singleXmlCell>
  <singleXmlCell id="662" r="H130" connectionId="0">
    <xmlCellPr id="1" uniqueName="1">
      <xmlPr mapId="43" xpath="/ns1:Root/ns1:Prog/ns1:Target_P1_5" xmlDataType="double"/>
    </xmlCellPr>
  </singleXmlCell>
  <singleXmlCell id="663" r="I130" connectionId="0">
    <xmlCellPr id="1" uniqueName="1">
      <xmlPr mapId="43" xpath="/ns1:Root/ns1:Prog/ns1:Target_P2_5" xmlDataType="double"/>
    </xmlCellPr>
  </singleXmlCell>
  <singleXmlCell id="664" r="J130" connectionId="0">
    <xmlCellPr id="1" uniqueName="1">
      <xmlPr mapId="43" xpath="/ns1:Root/ns1:Prog/ns1:Target_P3_5" xmlDataType="double"/>
    </xmlCellPr>
  </singleXmlCell>
  <singleXmlCell id="665" r="K130" connectionId="0">
    <xmlCellPr id="1" uniqueName="1">
      <xmlPr mapId="43" xpath="/ns1:Root/ns1:Prog/ns1:Target_P4_5" xmlDataType="double"/>
    </xmlCellPr>
  </singleXmlCell>
  <singleXmlCell id="666" r="L130" connectionId="0">
    <xmlCellPr id="1" uniqueName="1">
      <xmlPr mapId="43" xpath="/ns1:Root/ns1:Prog/ns1:Target_P5_5" xmlDataType="double"/>
    </xmlCellPr>
  </singleXmlCell>
  <singleXmlCell id="667" r="M130" connectionId="0">
    <xmlCellPr id="1" uniqueName="1">
      <xmlPr mapId="43" xpath="/ns1:Root/ns1:Prog/ns1:Target_P6_5" xmlDataType="double"/>
    </xmlCellPr>
  </singleXmlCell>
  <singleXmlCell id="668" r="N130" connectionId="0">
    <xmlCellPr id="1" uniqueName="1">
      <xmlPr mapId="43" xpath="/ns1:Root/ns1:Prog/ns1:Target_P7_5" xmlDataType="double"/>
    </xmlCellPr>
  </singleXmlCell>
  <singleXmlCell id="670" r="P130" connectionId="0">
    <xmlCellPr id="1" uniqueName="1">
      <xmlPr mapId="43" xpath="/ns1:Root/ns1:Prog/ns1:Target_P9_5" xmlDataType="double"/>
    </xmlCellPr>
  </singleXmlCell>
  <singleXmlCell id="671" r="Q130" connectionId="0">
    <xmlCellPr id="1" uniqueName="1">
      <xmlPr mapId="43" xpath="/ns1:Root/ns1:Prog/ns1:Target_P10_5" xmlDataType="double"/>
    </xmlCellPr>
  </singleXmlCell>
  <singleXmlCell id="672" r="R130" connectionId="0">
    <xmlCellPr id="1" uniqueName="1">
      <xmlPr mapId="43" xpath="/ns1:Root/ns1:Prog/ns1:Target_P11_5" xmlDataType="double"/>
    </xmlCellPr>
  </singleXmlCell>
  <singleXmlCell id="673" r="S130" connectionId="0">
    <xmlCellPr id="1" uniqueName="1">
      <xmlPr mapId="43" xpath="/ns1:Root/ns1:Prog/ns1:Target_P12_5" xmlDataType="double"/>
    </xmlCellPr>
  </singleXmlCell>
  <singleXmlCell id="674" r="H131" connectionId="0">
    <xmlCellPr id="1" uniqueName="1">
      <xmlPr mapId="43" xpath="/ns1:Root/ns1:Prog/ns1:Achieved__P1_5" xmlDataType="double"/>
    </xmlCellPr>
  </singleXmlCell>
  <singleXmlCell id="675" r="I131" connectionId="0">
    <xmlCellPr id="1" uniqueName="1">
      <xmlPr mapId="43" xpath="/ns1:Root/ns1:Prog/ns1:Achieved__P2_5" xmlDataType="double"/>
    </xmlCellPr>
  </singleXmlCell>
  <singleXmlCell id="676" r="J131" connectionId="0">
    <xmlCellPr id="1" uniqueName="1">
      <xmlPr mapId="43" xpath="/ns1:Root/ns1:Prog/ns1:Achieved__P3_5" xmlDataType="double"/>
    </xmlCellPr>
  </singleXmlCell>
  <singleXmlCell id="677" r="K131" connectionId="0">
    <xmlCellPr id="1" uniqueName="1">
      <xmlPr mapId="43" xpath="/ns1:Root/ns1:Prog/ns1:Achieved__P4_5" xmlDataType="double"/>
    </xmlCellPr>
  </singleXmlCell>
  <singleXmlCell id="678" r="L131" connectionId="0">
    <xmlCellPr id="1" uniqueName="1">
      <xmlPr mapId="43" xpath="/ns1:Root/ns1:Prog/ns1:Achieved__P5_5" xmlDataType="string"/>
    </xmlCellPr>
  </singleXmlCell>
  <singleXmlCell id="679" r="M131" connectionId="0">
    <xmlCellPr id="1" uniqueName="1">
      <xmlPr mapId="43" xpath="/ns1:Root/ns1:Prog/ns1:Achieved__P6_5" xmlDataType="string"/>
    </xmlCellPr>
  </singleXmlCell>
  <singleXmlCell id="680" r="N131" connectionId="0">
    <xmlCellPr id="1" uniqueName="1">
      <xmlPr mapId="43" xpath="/ns1:Root/ns1:Prog/ns1:Achieved__P7_5" xmlDataType="string"/>
    </xmlCellPr>
  </singleXmlCell>
  <singleXmlCell id="682" r="P131" connectionId="0">
    <xmlCellPr id="1" uniqueName="1">
      <xmlPr mapId="43" xpath="/ns1:Root/ns1:Prog/ns1:Achieved__P9_5" xmlDataType="string"/>
    </xmlCellPr>
  </singleXmlCell>
  <singleXmlCell id="683" r="Q131" connectionId="0">
    <xmlCellPr id="1" uniqueName="1">
      <xmlPr mapId="43" xpath="/ns1:Root/ns1:Prog/ns1:Achieved__P10_5" xmlDataType="string"/>
    </xmlCellPr>
  </singleXmlCell>
  <singleXmlCell id="684" r="R131" connectionId="0">
    <xmlCellPr id="1" uniqueName="1">
      <xmlPr mapId="43" xpath="/ns1:Root/ns1:Prog/ns1:Achieved__P11_5" xmlDataType="string"/>
    </xmlCellPr>
  </singleXmlCell>
  <singleXmlCell id="685" r="S131" connectionId="0">
    <xmlCellPr id="1" uniqueName="1">
      <xmlPr mapId="43" xpath="/ns1:Root/ns1:Prog/ns1:Achieved__P12_5" xmlDataType="string"/>
    </xmlCellPr>
  </singleXmlCell>
  <singleXmlCell id="686" r="H132" connectionId="0">
    <xmlCellPr id="1" uniqueName="1">
      <xmlPr mapId="43" xpath="/ns1:Root/ns1:Prog/ns1:Target_P1_6" xmlDataType="double"/>
    </xmlCellPr>
  </singleXmlCell>
  <singleXmlCell id="687" r="I132" connectionId="0">
    <xmlCellPr id="1" uniqueName="1">
      <xmlPr mapId="43" xpath="/ns1:Root/ns1:Prog/ns1:Target_P2_6" xmlDataType="double"/>
    </xmlCellPr>
  </singleXmlCell>
  <singleXmlCell id="688" r="J132" connectionId="0">
    <xmlCellPr id="1" uniqueName="1">
      <xmlPr mapId="43" xpath="/ns1:Root/ns1:Prog/ns1:Target_P3_6" xmlDataType="double"/>
    </xmlCellPr>
  </singleXmlCell>
  <singleXmlCell id="689" r="K132" connectionId="0">
    <xmlCellPr id="1" uniqueName="1">
      <xmlPr mapId="43" xpath="/ns1:Root/ns1:Prog/ns1:Target_P4_6" xmlDataType="double"/>
    </xmlCellPr>
  </singleXmlCell>
  <singleXmlCell id="690" r="L132" connectionId="0">
    <xmlCellPr id="1" uniqueName="1">
      <xmlPr mapId="43" xpath="/ns1:Root/ns1:Prog/ns1:Target_P5_6" xmlDataType="double"/>
    </xmlCellPr>
  </singleXmlCell>
  <singleXmlCell id="691" r="M132" connectionId="0">
    <xmlCellPr id="1" uniqueName="1">
      <xmlPr mapId="43" xpath="/ns1:Root/ns1:Prog/ns1:Target_P6_6" xmlDataType="double"/>
    </xmlCellPr>
  </singleXmlCell>
  <singleXmlCell id="692" r="N132" connectionId="0">
    <xmlCellPr id="1" uniqueName="1">
      <xmlPr mapId="43" xpath="/ns1:Root/ns1:Prog/ns1:Target_P7_6" xmlDataType="double"/>
    </xmlCellPr>
  </singleXmlCell>
  <singleXmlCell id="694" r="P132" connectionId="0">
    <xmlCellPr id="1" uniqueName="1">
      <xmlPr mapId="43" xpath="/ns1:Root/ns1:Prog/ns1:Target_P9_6" xmlDataType="double"/>
    </xmlCellPr>
  </singleXmlCell>
  <singleXmlCell id="695" r="Q132" connectionId="0">
    <xmlCellPr id="1" uniqueName="1">
      <xmlPr mapId="43" xpath="/ns1:Root/ns1:Prog/ns1:Target_P10_6" xmlDataType="double"/>
    </xmlCellPr>
  </singleXmlCell>
  <singleXmlCell id="696" r="R132" connectionId="0">
    <xmlCellPr id="1" uniqueName="1">
      <xmlPr mapId="43" xpath="/ns1:Root/ns1:Prog/ns1:Target_P11_6" xmlDataType="double"/>
    </xmlCellPr>
  </singleXmlCell>
  <singleXmlCell id="697" r="S132" connectionId="0">
    <xmlCellPr id="1" uniqueName="1">
      <xmlPr mapId="43" xpath="/ns1:Root/ns1:Prog/ns1:Target_P12_6" xmlDataType="double"/>
    </xmlCellPr>
  </singleXmlCell>
  <singleXmlCell id="698" r="H133" connectionId="0">
    <xmlCellPr id="1" uniqueName="1">
      <xmlPr mapId="43" xpath="/ns1:Root/ns1:Prog/ns1:Achieved__P1_6" xmlDataType="double"/>
    </xmlCellPr>
  </singleXmlCell>
  <singleXmlCell id="699" r="I133" connectionId="0">
    <xmlCellPr id="1" uniqueName="1">
      <xmlPr mapId="43" xpath="/ns1:Root/ns1:Prog/ns1:Achieved__P2_6" xmlDataType="double"/>
    </xmlCellPr>
  </singleXmlCell>
  <singleXmlCell id="700" r="J133" connectionId="0">
    <xmlCellPr id="1" uniqueName="1">
      <xmlPr mapId="43" xpath="/ns1:Root/ns1:Prog/ns1:Achieved__P3_6" xmlDataType="double"/>
    </xmlCellPr>
  </singleXmlCell>
  <singleXmlCell id="701" r="K133" connectionId="0">
    <xmlCellPr id="1" uniqueName="1">
      <xmlPr mapId="43" xpath="/ns1:Root/ns1:Prog/ns1:Achieved__P4_6" xmlDataType="double"/>
    </xmlCellPr>
  </singleXmlCell>
  <singleXmlCell id="702" r="L133" connectionId="0">
    <xmlCellPr id="1" uniqueName="1">
      <xmlPr mapId="43" xpath="/ns1:Root/ns1:Prog/ns1:Achieved__P5_6" xmlDataType="string"/>
    </xmlCellPr>
  </singleXmlCell>
  <singleXmlCell id="703" r="M133" connectionId="0">
    <xmlCellPr id="1" uniqueName="1">
      <xmlPr mapId="43" xpath="/ns1:Root/ns1:Prog/ns1:Achieved__P6_6" xmlDataType="string"/>
    </xmlCellPr>
  </singleXmlCell>
  <singleXmlCell id="704" r="N133" connectionId="0">
    <xmlCellPr id="1" uniqueName="1">
      <xmlPr mapId="43" xpath="/ns1:Root/ns1:Prog/ns1:Achieved__P7_6" xmlDataType="string"/>
    </xmlCellPr>
  </singleXmlCell>
  <singleXmlCell id="706" r="P133" connectionId="0">
    <xmlCellPr id="1" uniqueName="1">
      <xmlPr mapId="43" xpath="/ns1:Root/ns1:Prog/ns1:Achieved__P9_6" xmlDataType="string"/>
    </xmlCellPr>
  </singleXmlCell>
  <singleXmlCell id="707" r="Q133" connectionId="0">
    <xmlCellPr id="1" uniqueName="1">
      <xmlPr mapId="43" xpath="/ns1:Root/ns1:Prog/ns1:Achieved__P10_6" xmlDataType="string"/>
    </xmlCellPr>
  </singleXmlCell>
  <singleXmlCell id="708" r="R133" connectionId="0">
    <xmlCellPr id="1" uniqueName="1">
      <xmlPr mapId="43" xpath="/ns1:Root/ns1:Prog/ns1:Achieved__P11_6" xmlDataType="string"/>
    </xmlCellPr>
  </singleXmlCell>
  <singleXmlCell id="709" r="S133" connectionId="0">
    <xmlCellPr id="1" uniqueName="1">
      <xmlPr mapId="43" xpath="/ns1:Root/ns1:Prog/ns1:Achieved__P12_6" xmlDataType="string"/>
    </xmlCellPr>
  </singleXmlCell>
  <singleXmlCell id="710" r="H134" connectionId="0">
    <xmlCellPr id="1" uniqueName="1">
      <xmlPr mapId="43" xpath="/ns1:Root/ns1:Prog/ns1:Target_P1_7" xmlDataType="double"/>
    </xmlCellPr>
  </singleXmlCell>
  <singleXmlCell id="711" r="I134" connectionId="0">
    <xmlCellPr id="1" uniqueName="1">
      <xmlPr mapId="43" xpath="/ns1:Root/ns1:Prog/ns1:Target_P2_7" xmlDataType="double"/>
    </xmlCellPr>
  </singleXmlCell>
  <singleXmlCell id="712" r="J134" connectionId="0">
    <xmlCellPr id="1" uniqueName="1">
      <xmlPr mapId="43" xpath="/ns1:Root/ns1:Prog/ns1:Target_P3_7" xmlDataType="double"/>
    </xmlCellPr>
  </singleXmlCell>
  <singleXmlCell id="713" r="K134" connectionId="0">
    <xmlCellPr id="1" uniqueName="1">
      <xmlPr mapId="43" xpath="/ns1:Root/ns1:Prog/ns1:Target_P4_7" xmlDataType="double"/>
    </xmlCellPr>
  </singleXmlCell>
  <singleXmlCell id="714" r="L134" connectionId="0">
    <xmlCellPr id="1" uniqueName="1">
      <xmlPr mapId="43" xpath="/ns1:Root/ns1:Prog/ns1:Target_P5_7" xmlDataType="double"/>
    </xmlCellPr>
  </singleXmlCell>
  <singleXmlCell id="715" r="M134" connectionId="0">
    <xmlCellPr id="1" uniqueName="1">
      <xmlPr mapId="43" xpath="/ns1:Root/ns1:Prog/ns1:Target_P6_7" xmlDataType="double"/>
    </xmlCellPr>
  </singleXmlCell>
  <singleXmlCell id="716" r="N134" connectionId="0">
    <xmlCellPr id="1" uniqueName="1">
      <xmlPr mapId="43" xpath="/ns1:Root/ns1:Prog/ns1:Target_P7_7" xmlDataType="double"/>
    </xmlCellPr>
  </singleXmlCell>
  <singleXmlCell id="717" r="O134" connectionId="0">
    <xmlCellPr id="1" uniqueName="1">
      <xmlPr mapId="43" xpath="/ns1:Root/ns1:Prog/ns1:Target_P8_7" xmlDataType="double"/>
    </xmlCellPr>
  </singleXmlCell>
  <singleXmlCell id="718" r="P134" connectionId="0">
    <xmlCellPr id="1" uniqueName="1">
      <xmlPr mapId="43" xpath="/ns1:Root/ns1:Prog/ns1:Target_P9_7" xmlDataType="double"/>
    </xmlCellPr>
  </singleXmlCell>
  <singleXmlCell id="719" r="Q134" connectionId="0">
    <xmlCellPr id="1" uniqueName="1">
      <xmlPr mapId="43" xpath="/ns1:Root/ns1:Prog/ns1:Target_P10_7" xmlDataType="double"/>
    </xmlCellPr>
  </singleXmlCell>
  <singleXmlCell id="720" r="R134" connectionId="0">
    <xmlCellPr id="1" uniqueName="1">
      <xmlPr mapId="43" xpath="/ns1:Root/ns1:Prog/ns1:Target_P11_7" xmlDataType="double"/>
    </xmlCellPr>
  </singleXmlCell>
  <singleXmlCell id="721" r="S134" connectionId="0">
    <xmlCellPr id="1" uniqueName="1">
      <xmlPr mapId="43" xpath="/ns1:Root/ns1:Prog/ns1:Target_P12_7" xmlDataType="double"/>
    </xmlCellPr>
  </singleXmlCell>
  <singleXmlCell id="722" r="H135" connectionId="0">
    <xmlCellPr id="1" uniqueName="1">
      <xmlPr mapId="43" xpath="/ns1:Root/ns1:Prog/ns1:Achieved__P1_7" xmlDataType="double"/>
    </xmlCellPr>
  </singleXmlCell>
  <singleXmlCell id="723" r="I135" connectionId="0">
    <xmlCellPr id="1" uniqueName="1">
      <xmlPr mapId="43" xpath="/ns1:Root/ns1:Prog/ns1:Achieved__P2_7" xmlDataType="double"/>
    </xmlCellPr>
  </singleXmlCell>
  <singleXmlCell id="724" r="J135" connectionId="0">
    <xmlCellPr id="1" uniqueName="1">
      <xmlPr mapId="43" xpath="/ns1:Root/ns1:Prog/ns1:Achieved__P3_7" xmlDataType="double"/>
    </xmlCellPr>
  </singleXmlCell>
  <singleXmlCell id="725" r="K135" connectionId="0">
    <xmlCellPr id="1" uniqueName="1">
      <xmlPr mapId="43" xpath="/ns1:Root/ns1:Prog/ns1:Achieved__P4_7" xmlDataType="double"/>
    </xmlCellPr>
  </singleXmlCell>
  <singleXmlCell id="726" r="L135" connectionId="0">
    <xmlCellPr id="1" uniqueName="1">
      <xmlPr mapId="43" xpath="/ns1:Root/ns1:Prog/ns1:Achieved__P5_7" xmlDataType="string"/>
    </xmlCellPr>
  </singleXmlCell>
  <singleXmlCell id="727" r="M135" connectionId="0">
    <xmlCellPr id="1" uniqueName="1">
      <xmlPr mapId="43" xpath="/ns1:Root/ns1:Prog/ns1:Achieved__P6_7" xmlDataType="string"/>
    </xmlCellPr>
  </singleXmlCell>
  <singleXmlCell id="728" r="N135" connectionId="0">
    <xmlCellPr id="1" uniqueName="1">
      <xmlPr mapId="43" xpath="/ns1:Root/ns1:Prog/ns1:Achieved__P7_7" xmlDataType="string"/>
    </xmlCellPr>
  </singleXmlCell>
  <singleXmlCell id="729" r="O135" connectionId="0">
    <xmlCellPr id="1" uniqueName="1">
      <xmlPr mapId="43" xpath="/ns1:Root/ns1:Prog/ns1:Achieved__P8_7" xmlDataType="string"/>
    </xmlCellPr>
  </singleXmlCell>
  <singleXmlCell id="730" r="P135" connectionId="0">
    <xmlCellPr id="1" uniqueName="1">
      <xmlPr mapId="43" xpath="/ns1:Root/ns1:Prog/ns1:Achieved__P9_7" xmlDataType="string"/>
    </xmlCellPr>
  </singleXmlCell>
  <singleXmlCell id="731" r="Q135" connectionId="0">
    <xmlCellPr id="1" uniqueName="1">
      <xmlPr mapId="43" xpath="/ns1:Root/ns1:Prog/ns1:Achieved__P10_7" xmlDataType="string"/>
    </xmlCellPr>
  </singleXmlCell>
  <singleXmlCell id="732" r="R135" connectionId="0">
    <xmlCellPr id="1" uniqueName="1">
      <xmlPr mapId="43" xpath="/ns1:Root/ns1:Prog/ns1:Achieved__P11_7" xmlDataType="string"/>
    </xmlCellPr>
  </singleXmlCell>
  <singleXmlCell id="733" r="S135" connectionId="0">
    <xmlCellPr id="1" uniqueName="1">
      <xmlPr mapId="43" xpath="/ns1:Root/ns1:Prog/ns1:Achieved__P12_7" xmlDataType="string"/>
    </xmlCellPr>
  </singleXmlCell>
  <singleXmlCell id="734" r="H136" connectionId="0">
    <xmlCellPr id="1" uniqueName="1">
      <xmlPr mapId="43" xpath="/ns1:Root/ns1:Prog/ns1:Target_P1_8" xmlDataType="string"/>
    </xmlCellPr>
  </singleXmlCell>
  <singleXmlCell id="735" r="I136" connectionId="0">
    <xmlCellPr id="1" uniqueName="1">
      <xmlPr mapId="43" xpath="/ns1:Root/ns1:Prog/ns1:Target_P2_8" xmlDataType="double"/>
    </xmlCellPr>
  </singleXmlCell>
  <singleXmlCell id="736" r="J136" connectionId="0">
    <xmlCellPr id="1" uniqueName="1">
      <xmlPr mapId="43" xpath="/ns1:Root/ns1:Prog/ns1:Target_P3_8" xmlDataType="string"/>
    </xmlCellPr>
  </singleXmlCell>
  <singleXmlCell id="737" r="K136" connectionId="0">
    <xmlCellPr id="1" uniqueName="1">
      <xmlPr mapId="43" xpath="/ns1:Root/ns1:Prog/ns1:Target_P4_8" xmlDataType="double"/>
    </xmlCellPr>
  </singleXmlCell>
  <singleXmlCell id="738" r="L136" connectionId="0">
    <xmlCellPr id="1" uniqueName="1">
      <xmlPr mapId="43" xpath="/ns1:Root/ns1:Prog/ns1:Target_P5_8" xmlDataType="string"/>
    </xmlCellPr>
  </singleXmlCell>
  <singleXmlCell id="739" r="M136" connectionId="0">
    <xmlCellPr id="1" uniqueName="1">
      <xmlPr mapId="43" xpath="/ns1:Root/ns1:Prog/ns1:Target_P6_8" xmlDataType="double"/>
    </xmlCellPr>
  </singleXmlCell>
  <singleXmlCell id="740" r="N136" connectionId="0">
    <xmlCellPr id="1" uniqueName="1">
      <xmlPr mapId="43" xpath="/ns1:Root/ns1:Prog/ns1:Target_P7_8" xmlDataType="string"/>
    </xmlCellPr>
  </singleXmlCell>
  <singleXmlCell id="741" r="O136" connectionId="0">
    <xmlCellPr id="1" uniqueName="1">
      <xmlPr mapId="43" xpath="/ns1:Root/ns1:Prog/ns1:Target_P8_8" xmlDataType="double"/>
    </xmlCellPr>
  </singleXmlCell>
  <singleXmlCell id="742" r="P136" connectionId="0">
    <xmlCellPr id="1" uniqueName="1">
      <xmlPr mapId="43" xpath="/ns1:Root/ns1:Prog/ns1:Target_P9_8" xmlDataType="double"/>
    </xmlCellPr>
  </singleXmlCell>
  <singleXmlCell id="743" r="Q136" connectionId="0">
    <xmlCellPr id="1" uniqueName="1">
      <xmlPr mapId="43" xpath="/ns1:Root/ns1:Prog/ns1:Target_P10_8" xmlDataType="double"/>
    </xmlCellPr>
  </singleXmlCell>
  <singleXmlCell id="744" r="R136" connectionId="0">
    <xmlCellPr id="1" uniqueName="1">
      <xmlPr mapId="43" xpath="/ns1:Root/ns1:Prog/ns1:Target_P11_8" xmlDataType="double"/>
    </xmlCellPr>
  </singleXmlCell>
  <singleXmlCell id="745" r="S136" connectionId="0">
    <xmlCellPr id="1" uniqueName="1">
      <xmlPr mapId="43" xpath="/ns1:Root/ns1:Prog/ns1:Target_P12_8" xmlDataType="double"/>
    </xmlCellPr>
  </singleXmlCell>
  <singleXmlCell id="746" r="H137" connectionId="0">
    <xmlCellPr id="1" uniqueName="1">
      <xmlPr mapId="43" xpath="/ns1:Root/ns1:Prog/ns1:Achieved__P1_8" xmlDataType="string"/>
    </xmlCellPr>
  </singleXmlCell>
  <singleXmlCell id="747" r="I137" connectionId="0">
    <xmlCellPr id="1" uniqueName="1">
      <xmlPr mapId="43" xpath="/ns1:Root/ns1:Prog/ns1:Achieved__P2_8" xmlDataType="string"/>
    </xmlCellPr>
  </singleXmlCell>
  <singleXmlCell id="748" r="J137" connectionId="0">
    <xmlCellPr id="1" uniqueName="1">
      <xmlPr mapId="43" xpath="/ns1:Root/ns1:Prog/ns1:Achieved__P3_8" xmlDataType="string"/>
    </xmlCellPr>
  </singleXmlCell>
  <singleXmlCell id="749" r="K137" connectionId="0">
    <xmlCellPr id="1" uniqueName="1">
      <xmlPr mapId="43" xpath="/ns1:Root/ns1:Prog/ns1:Achieved__P4_8" xmlDataType="string"/>
    </xmlCellPr>
  </singleXmlCell>
  <singleXmlCell id="750" r="L137" connectionId="0">
    <xmlCellPr id="1" uniqueName="1">
      <xmlPr mapId="43" xpath="/ns1:Root/ns1:Prog/ns1:Achieved__P5_8" xmlDataType="string"/>
    </xmlCellPr>
  </singleXmlCell>
  <singleXmlCell id="751" r="M137" connectionId="0">
    <xmlCellPr id="1" uniqueName="1">
      <xmlPr mapId="43" xpath="/ns1:Root/ns1:Prog/ns1:Achieved__P6_8" xmlDataType="string"/>
    </xmlCellPr>
  </singleXmlCell>
  <singleXmlCell id="752" r="N137" connectionId="0">
    <xmlCellPr id="1" uniqueName="1">
      <xmlPr mapId="43" xpath="/ns1:Root/ns1:Prog/ns1:Achieved__P7_8" xmlDataType="string"/>
    </xmlCellPr>
  </singleXmlCell>
  <singleXmlCell id="753" r="O137" connectionId="0">
    <xmlCellPr id="1" uniqueName="1">
      <xmlPr mapId="43" xpath="/ns1:Root/ns1:Prog/ns1:Achieved__P8_8" xmlDataType="string"/>
    </xmlCellPr>
  </singleXmlCell>
  <singleXmlCell id="754" r="P137" connectionId="0">
    <xmlCellPr id="1" uniqueName="1">
      <xmlPr mapId="43" xpath="/ns1:Root/ns1:Prog/ns1:Achieved__P9_8" xmlDataType="string"/>
    </xmlCellPr>
  </singleXmlCell>
  <singleXmlCell id="755" r="Q137" connectionId="0">
    <xmlCellPr id="1" uniqueName="1">
      <xmlPr mapId="43" xpath="/ns1:Root/ns1:Prog/ns1:Achieved__P10_8" xmlDataType="string"/>
    </xmlCellPr>
  </singleXmlCell>
  <singleXmlCell id="756" r="R137" connectionId="0">
    <xmlCellPr id="1" uniqueName="1">
      <xmlPr mapId="43" xpath="/ns1:Root/ns1:Prog/ns1:Achieved__P11_8" xmlDataType="string"/>
    </xmlCellPr>
  </singleXmlCell>
  <singleXmlCell id="757" r="S137" connectionId="0">
    <xmlCellPr id="1" uniqueName="1">
      <xmlPr mapId="43" xpath="/ns1:Root/ns1:Prog/ns1:Achieved__P12_8" xmlDataType="string"/>
    </xmlCellPr>
  </singleXmlCell>
  <singleXmlCell id="758" r="H138" connectionId="0">
    <xmlCellPr id="1" uniqueName="1">
      <xmlPr mapId="43" xpath="/ns1:Root/ns1:Prog/ns1:Target_P1_9" xmlDataType="double"/>
    </xmlCellPr>
  </singleXmlCell>
  <singleXmlCell id="759" r="I138" connectionId="0">
    <xmlCellPr id="1" uniqueName="1">
      <xmlPr mapId="43" xpath="/ns1:Root/ns1:Prog/ns1:Target_P2_9" xmlDataType="double"/>
    </xmlCellPr>
  </singleXmlCell>
  <singleXmlCell id="760" r="J138" connectionId="0">
    <xmlCellPr id="1" uniqueName="1">
      <xmlPr mapId="43" xpath="/ns1:Root/ns1:Prog/ns1:Target_P3_9" xmlDataType="double"/>
    </xmlCellPr>
  </singleXmlCell>
  <singleXmlCell id="761" r="K138" connectionId="0">
    <xmlCellPr id="1" uniqueName="1">
      <xmlPr mapId="43" xpath="/ns1:Root/ns1:Prog/ns1:Target_P4_9" xmlDataType="double"/>
    </xmlCellPr>
  </singleXmlCell>
  <singleXmlCell id="762" r="L138" connectionId="0">
    <xmlCellPr id="1" uniqueName="1">
      <xmlPr mapId="43" xpath="/ns1:Root/ns1:Prog/ns1:Target_P5_9" xmlDataType="double"/>
    </xmlCellPr>
  </singleXmlCell>
  <singleXmlCell id="763" r="M138" connectionId="0">
    <xmlCellPr id="1" uniqueName="1">
      <xmlPr mapId="43" xpath="/ns1:Root/ns1:Prog/ns1:Target_P6_9" xmlDataType="double"/>
    </xmlCellPr>
  </singleXmlCell>
  <singleXmlCell id="764" r="N138" connectionId="0">
    <xmlCellPr id="1" uniqueName="1">
      <xmlPr mapId="43" xpath="/ns1:Root/ns1:Prog/ns1:Target_P7_9" xmlDataType="double"/>
    </xmlCellPr>
  </singleXmlCell>
  <singleXmlCell id="765" r="O138" connectionId="0">
    <xmlCellPr id="1" uniqueName="1">
      <xmlPr mapId="43" xpath="/ns1:Root/ns1:Prog/ns1:Target_P8_9" xmlDataType="double"/>
    </xmlCellPr>
  </singleXmlCell>
  <singleXmlCell id="766" r="P138" connectionId="0">
    <xmlCellPr id="1" uniqueName="1">
      <xmlPr mapId="43" xpath="/ns1:Root/ns1:Prog/ns1:Target_P9_9" xmlDataType="double"/>
    </xmlCellPr>
  </singleXmlCell>
  <singleXmlCell id="767" r="Q138" connectionId="0">
    <xmlCellPr id="1" uniqueName="1">
      <xmlPr mapId="43" xpath="/ns1:Root/ns1:Prog/ns1:Target_P10_9" xmlDataType="double"/>
    </xmlCellPr>
  </singleXmlCell>
  <singleXmlCell id="768" r="R138" connectionId="0">
    <xmlCellPr id="1" uniqueName="1">
      <xmlPr mapId="43" xpath="/ns1:Root/ns1:Prog/ns1:Target_P11_9" xmlDataType="double"/>
    </xmlCellPr>
  </singleXmlCell>
  <singleXmlCell id="769" r="S138" connectionId="0">
    <xmlCellPr id="1" uniqueName="1">
      <xmlPr mapId="43" xpath="/ns1:Root/ns1:Prog/ns1:Target_P12_9" xmlDataType="double"/>
    </xmlCellPr>
  </singleXmlCell>
  <singleXmlCell id="770" r="H139" connectionId="0">
    <xmlCellPr id="1" uniqueName="1">
      <xmlPr mapId="43" xpath="/ns1:Root/ns1:Prog/ns1:Achieved__P1_9" xmlDataType="string"/>
    </xmlCellPr>
  </singleXmlCell>
  <singleXmlCell id="771" r="I139" connectionId="0">
    <xmlCellPr id="1" uniqueName="1">
      <xmlPr mapId="43" xpath="/ns1:Root/ns1:Prog/ns1:Achieved__P2_9" xmlDataType="double"/>
    </xmlCellPr>
  </singleXmlCell>
  <singleXmlCell id="772" r="J139" connectionId="0">
    <xmlCellPr id="1" uniqueName="1">
      <xmlPr mapId="43" xpath="/ns1:Root/ns1:Prog/ns1:Achieved__P3_9" xmlDataType="string"/>
    </xmlCellPr>
  </singleXmlCell>
  <singleXmlCell id="773" r="K139" connectionId="0">
    <xmlCellPr id="1" uniqueName="1">
      <xmlPr mapId="43" xpath="/ns1:Root/ns1:Prog/ns1:Achieved__P4_9" xmlDataType="double"/>
    </xmlCellPr>
  </singleXmlCell>
  <singleXmlCell id="774" r="L139" connectionId="0">
    <xmlCellPr id="1" uniqueName="1">
      <xmlPr mapId="43" xpath="/ns1:Root/ns1:Prog/ns1:Achieved__P5_9" xmlDataType="string"/>
    </xmlCellPr>
  </singleXmlCell>
  <singleXmlCell id="775" r="M139" connectionId="0">
    <xmlCellPr id="1" uniqueName="1">
      <xmlPr mapId="43" xpath="/ns1:Root/ns1:Prog/ns1:Achieved__P6_9" xmlDataType="string"/>
    </xmlCellPr>
  </singleXmlCell>
  <singleXmlCell id="776" r="N139" connectionId="0">
    <xmlCellPr id="1" uniqueName="1">
      <xmlPr mapId="43" xpath="/ns1:Root/ns1:Prog/ns1:Achieved__P7_9" xmlDataType="string"/>
    </xmlCellPr>
  </singleXmlCell>
  <singleXmlCell id="777" r="O139" connectionId="0">
    <xmlCellPr id="1" uniqueName="1">
      <xmlPr mapId="43" xpath="/ns1:Root/ns1:Prog/ns1:Achieved__P8_9" xmlDataType="string"/>
    </xmlCellPr>
  </singleXmlCell>
  <singleXmlCell id="778" r="P139" connectionId="0">
    <xmlCellPr id="1" uniqueName="1">
      <xmlPr mapId="43" xpath="/ns1:Root/ns1:Prog/ns1:Achieved__P9_9" xmlDataType="string"/>
    </xmlCellPr>
  </singleXmlCell>
  <singleXmlCell id="779" r="Q139" connectionId="0">
    <xmlCellPr id="1" uniqueName="1">
      <xmlPr mapId="43" xpath="/ns1:Root/ns1:Prog/ns1:Achieved__P10_9" xmlDataType="string"/>
    </xmlCellPr>
  </singleXmlCell>
  <singleXmlCell id="780" r="R139" connectionId="0">
    <xmlCellPr id="1" uniqueName="1">
      <xmlPr mapId="43" xpath="/ns1:Root/ns1:Prog/ns1:Achieved__P11_9" xmlDataType="string"/>
    </xmlCellPr>
  </singleXmlCell>
  <singleXmlCell id="781" r="S139" connectionId="0">
    <xmlCellPr id="1" uniqueName="1">
      <xmlPr mapId="43" xpath="/ns1:Root/ns1:Prog/ns1:Achieved__P12_9" xmlDataType="string"/>
    </xmlCellPr>
  </singleXmlCell>
  <singleXmlCell id="782" r="H140" connectionId="0">
    <xmlCellPr id="1" uniqueName="1">
      <xmlPr mapId="43" xpath="/ns1:Root/ns1:Prog/ns1:Target_P1" xmlDataType="string"/>
    </xmlCellPr>
  </singleXmlCell>
  <singleXmlCell id="783" r="I140" connectionId="0">
    <xmlCellPr id="1" uniqueName="1">
      <xmlPr mapId="43" xpath="/ns1:Root/ns1:Prog/ns1:Target_P2" xmlDataType="string"/>
    </xmlCellPr>
  </singleXmlCell>
  <singleXmlCell id="784" r="J140" connectionId="0">
    <xmlCellPr id="1" uniqueName="1">
      <xmlPr mapId="43" xpath="/ns1:Root/ns1:Prog/ns1:Target_P3" xmlDataType="string"/>
    </xmlCellPr>
  </singleXmlCell>
  <singleXmlCell id="785" r="K140" connectionId="0">
    <xmlCellPr id="1" uniqueName="1">
      <xmlPr mapId="43" xpath="/ns1:Root/ns1:Prog/ns1:Target_P4" xmlDataType="double"/>
    </xmlCellPr>
  </singleXmlCell>
  <singleXmlCell id="786" r="L140" connectionId="0">
    <xmlCellPr id="1" uniqueName="1">
      <xmlPr mapId="43" xpath="/ns1:Root/ns1:Prog/ns1:Target_P5" xmlDataType="string"/>
    </xmlCellPr>
  </singleXmlCell>
  <singleXmlCell id="787" r="M140" connectionId="0">
    <xmlCellPr id="1" uniqueName="1">
      <xmlPr mapId="43" xpath="/ns1:Root/ns1:Prog/ns1:Target_P6" xmlDataType="string"/>
    </xmlCellPr>
  </singleXmlCell>
  <singleXmlCell id="788" r="N140" connectionId="0">
    <xmlCellPr id="1" uniqueName="1">
      <xmlPr mapId="43" xpath="/ns1:Root/ns1:Prog/ns1:Target_P7" xmlDataType="string"/>
    </xmlCellPr>
  </singleXmlCell>
  <singleXmlCell id="789" r="O140" connectionId="0">
    <xmlCellPr id="1" uniqueName="1">
      <xmlPr mapId="43" xpath="/ns1:Root/ns1:Prog/ns1:Target_P8" xmlDataType="string"/>
    </xmlCellPr>
  </singleXmlCell>
  <singleXmlCell id="790" r="P140" connectionId="0">
    <xmlCellPr id="1" uniqueName="1">
      <xmlPr mapId="43" xpath="/ns1:Root/ns1:Prog/ns1:Target_P9" xmlDataType="string"/>
    </xmlCellPr>
  </singleXmlCell>
  <singleXmlCell id="791" r="Q140" connectionId="0">
    <xmlCellPr id="1" uniqueName="1">
      <xmlPr mapId="43" xpath="/ns1:Root/ns1:Prog/ns1:Target_P10" xmlDataType="string"/>
    </xmlCellPr>
  </singleXmlCell>
  <singleXmlCell id="792" r="R140" connectionId="0">
    <xmlCellPr id="1" uniqueName="1">
      <xmlPr mapId="43" xpath="/ns1:Root/ns1:Prog/ns1:Target_P11" xmlDataType="string"/>
    </xmlCellPr>
  </singleXmlCell>
  <singleXmlCell id="793" r="S140" connectionId="0">
    <xmlCellPr id="1" uniqueName="1">
      <xmlPr mapId="43" xpath="/ns1:Root/ns1:Prog/ns1:Target_P12" xmlDataType="string"/>
    </xmlCellPr>
  </singleXmlCell>
  <singleXmlCell id="794" r="H141" connectionId="0">
    <xmlCellPr id="1" uniqueName="1">
      <xmlPr mapId="43" xpath="/ns1:Root/ns1:Prog/ns1:Achieved__P1" xmlDataType="string"/>
    </xmlCellPr>
  </singleXmlCell>
  <singleXmlCell id="795" r="I141" connectionId="0">
    <xmlCellPr id="1" uniqueName="1">
      <xmlPr mapId="43" xpath="/ns1:Root/ns1:Prog/ns1:Achieved__P2" xmlDataType="string"/>
    </xmlCellPr>
  </singleXmlCell>
  <singleXmlCell id="796" r="J141" connectionId="0">
    <xmlCellPr id="1" uniqueName="1">
      <xmlPr mapId="43" xpath="/ns1:Root/ns1:Prog/ns1:Achieved__P3" xmlDataType="string"/>
    </xmlCellPr>
  </singleXmlCell>
  <singleXmlCell id="797" r="K141" connectionId="0">
    <xmlCellPr id="1" uniqueName="1">
      <xmlPr mapId="43" xpath="/ns1:Root/ns1:Prog/ns1:Achieved__P4" xmlDataType="string"/>
    </xmlCellPr>
  </singleXmlCell>
  <singleXmlCell id="798" r="L141" connectionId="0">
    <xmlCellPr id="1" uniqueName="1">
      <xmlPr mapId="43" xpath="/ns1:Root/ns1:Prog/ns1:Achieved__P5" xmlDataType="string"/>
    </xmlCellPr>
  </singleXmlCell>
  <singleXmlCell id="799" r="M141" connectionId="0">
    <xmlCellPr id="1" uniqueName="1">
      <xmlPr mapId="43" xpath="/ns1:Root/ns1:Prog/ns1:Achieved__P6" xmlDataType="string"/>
    </xmlCellPr>
  </singleXmlCell>
  <singleXmlCell id="800" r="N141" connectionId="0">
    <xmlCellPr id="1" uniqueName="1">
      <xmlPr mapId="43" xpath="/ns1:Root/ns1:Prog/ns1:Achieved__P7" xmlDataType="string"/>
    </xmlCellPr>
  </singleXmlCell>
  <singleXmlCell id="801" r="O141" connectionId="0">
    <xmlCellPr id="1" uniqueName="1">
      <xmlPr mapId="43" xpath="/ns1:Root/ns1:Prog/ns1:Achieved__P8" xmlDataType="string"/>
    </xmlCellPr>
  </singleXmlCell>
  <singleXmlCell id="802" r="P141" connectionId="0">
    <xmlCellPr id="1" uniqueName="1">
      <xmlPr mapId="43" xpath="/ns1:Root/ns1:Prog/ns1:Achieved__P9" xmlDataType="string"/>
    </xmlCellPr>
  </singleXmlCell>
  <singleXmlCell id="803" r="Q141" connectionId="0">
    <xmlCellPr id="1" uniqueName="1">
      <xmlPr mapId="43" xpath="/ns1:Root/ns1:Prog/ns1:Achieved__P10" xmlDataType="string"/>
    </xmlCellPr>
  </singleXmlCell>
  <singleXmlCell id="804" r="R141" connectionId="0">
    <xmlCellPr id="1" uniqueName="1">
      <xmlPr mapId="43" xpath="/ns1:Root/ns1:Prog/ns1:Achieved__P11" xmlDataType="string"/>
    </xmlCellPr>
  </singleXmlCell>
  <singleXmlCell id="805" r="S141" connectionId="0">
    <xmlCellPr id="1" uniqueName="1">
      <xmlPr mapId="43" xpath="/ns1:Root/ns1:Prog/ns1:Achieved__P12" xmlDataType="string"/>
    </xmlCellPr>
  </singleXmlCell>
  <singleXmlCell id="806" r="K124" connectionId="0">
    <xmlCellPr id="1" uniqueName="1">
      <xmlPr mapId="43" xpath="/ns1:Root/ns1:Prog/ns1:Target_P4_2" xmlDataType="double"/>
    </xmlCellPr>
  </singleXmlCell>
  <singleXmlCell id="807" r="B122" connectionId="0">
    <xmlCellPr id="1" uniqueName="1">
      <xmlPr mapId="43" xpath="/ns1:Root/ns1:P1" xmlDataType="string"/>
    </xmlCellPr>
  </singleXmlCell>
  <singleXmlCell id="808" r="E122" connectionId="0">
    <xmlCellPr id="1" uniqueName="1">
      <xmlPr mapId="43" xpath="/ns1:Root/ns1:P1_Code" xmlDataType="double"/>
    </xmlCellPr>
  </singleXmlCell>
  <singleXmlCell id="809" r="F122" connectionId="0">
    <xmlCellPr id="1" uniqueName="1">
      <xmlPr mapId="43" xpath="/ns1:Root/ns1:P1_Tied" xmlDataType="string"/>
    </xmlCellPr>
  </singleXmlCell>
  <singleXmlCell id="810" r="B124" connectionId="0">
    <xmlCellPr id="1" uniqueName="1">
      <xmlPr mapId="43" xpath="/ns1:Root/ns1:P2" xmlDataType="string"/>
    </xmlCellPr>
  </singleXmlCell>
  <singleXmlCell id="811" r="E124" connectionId="0">
    <xmlCellPr id="1" uniqueName="1">
      <xmlPr mapId="43" xpath="/ns1:Root/ns1:P2_Code" xmlDataType="double"/>
    </xmlCellPr>
  </singleXmlCell>
  <singleXmlCell id="812" r="F124" connectionId="0">
    <xmlCellPr id="1" uniqueName="1">
      <xmlPr mapId="43" xpath="/ns1:Root/ns1:P2_Tied" xmlDataType="string"/>
    </xmlCellPr>
  </singleXmlCell>
  <singleXmlCell id="813" r="B126" connectionId="0">
    <xmlCellPr id="1" uniqueName="1">
      <xmlPr mapId="43" xpath="/ns1:Root/ns1:P3" xmlDataType="string"/>
    </xmlCellPr>
  </singleXmlCell>
  <singleXmlCell id="814" r="E126" connectionId="0">
    <xmlCellPr id="1" uniqueName="1">
      <xmlPr mapId="43" xpath="/ns1:Root/ns1:P3_Code" xmlDataType="double"/>
    </xmlCellPr>
  </singleXmlCell>
  <singleXmlCell id="815" r="F126" connectionId="0">
    <xmlCellPr id="1" uniqueName="1">
      <xmlPr mapId="43" xpath="/ns1:Root/ns1:P3_Tied" xmlDataType="string"/>
    </xmlCellPr>
  </singleXmlCell>
  <singleXmlCell id="816" r="B128" connectionId="0">
    <xmlCellPr id="1" uniqueName="1">
      <xmlPr mapId="43" xpath="/ns1:Root/ns1:P4" xmlDataType="string"/>
    </xmlCellPr>
  </singleXmlCell>
  <singleXmlCell id="817" r="E128" connectionId="0">
    <xmlCellPr id="1" uniqueName="1">
      <xmlPr mapId="43" xpath="/ns1:Root/ns1:P4_Code" xmlDataType="double"/>
    </xmlCellPr>
  </singleXmlCell>
  <singleXmlCell id="818" r="F128" connectionId="0">
    <xmlCellPr id="1" uniqueName="1">
      <xmlPr mapId="43" xpath="/ns1:Root/ns1:P4_Tied" xmlDataType="string"/>
    </xmlCellPr>
  </singleXmlCell>
  <singleXmlCell id="819" r="B130" connectionId="0">
    <xmlCellPr id="1" uniqueName="1">
      <xmlPr mapId="43" xpath="/ns1:Root/ns1:P5" xmlDataType="string"/>
    </xmlCellPr>
  </singleXmlCell>
  <singleXmlCell id="820" r="E130" connectionId="0">
    <xmlCellPr id="1" uniqueName="1">
      <xmlPr mapId="43" xpath="/ns1:Root/ns1:P5_Code" xmlDataType="double"/>
    </xmlCellPr>
  </singleXmlCell>
  <singleXmlCell id="821" r="F130" connectionId="0">
    <xmlCellPr id="1" uniqueName="1">
      <xmlPr mapId="43" xpath="/ns1:Root/ns1:P5_Tied" xmlDataType="string"/>
    </xmlCellPr>
  </singleXmlCell>
  <singleXmlCell id="822" r="B132" connectionId="0">
    <xmlCellPr id="1" uniqueName="1">
      <xmlPr mapId="43" xpath="/ns1:Root/ns1:P6" xmlDataType="string"/>
    </xmlCellPr>
  </singleXmlCell>
  <singleXmlCell id="823" r="E132" connectionId="0">
    <xmlCellPr id="1" uniqueName="1">
      <xmlPr mapId="43" xpath="/ns1:Root/ns1:P6_Code" xmlDataType="double"/>
    </xmlCellPr>
  </singleXmlCell>
  <singleXmlCell id="824" r="F132" connectionId="0">
    <xmlCellPr id="1" uniqueName="1">
      <xmlPr mapId="43" xpath="/ns1:Root/ns1:P6_Tied" xmlDataType="string"/>
    </xmlCellPr>
  </singleXmlCell>
  <singleXmlCell id="825" r="B134" connectionId="0">
    <xmlCellPr id="1" uniqueName="1">
      <xmlPr mapId="43" xpath="/ns1:Root/ns1:P7" xmlDataType="string"/>
    </xmlCellPr>
  </singleXmlCell>
  <singleXmlCell id="826" r="E134" connectionId="0">
    <xmlCellPr id="1" uniqueName="1">
      <xmlPr mapId="43" xpath="/ns1:Root/ns1:P7_Code" xmlDataType="double"/>
    </xmlCellPr>
  </singleXmlCell>
  <singleXmlCell id="827" r="F134" connectionId="0">
    <xmlCellPr id="1" uniqueName="1">
      <xmlPr mapId="43" xpath="/ns1:Root/ns1:P7_Tied" xmlDataType="string"/>
    </xmlCellPr>
  </singleXmlCell>
  <singleXmlCell id="828" r="B136" connectionId="0">
    <xmlCellPr id="1" uniqueName="1">
      <xmlPr mapId="43" xpath="/ns1:Root/ns1:P8" xmlDataType="string"/>
    </xmlCellPr>
  </singleXmlCell>
  <singleXmlCell id="829" r="E136" connectionId="0">
    <xmlCellPr id="1" uniqueName="1">
      <xmlPr mapId="43" xpath="/ns1:Root/ns1:P8_Code" xmlDataType="double"/>
    </xmlCellPr>
  </singleXmlCell>
  <singleXmlCell id="830" r="F136" connectionId="0">
    <xmlCellPr id="1" uniqueName="1">
      <xmlPr mapId="43" xpath="/ns1:Root/ns1:P8_Tied" xmlDataType="string"/>
    </xmlCellPr>
  </singleXmlCell>
  <singleXmlCell id="831" r="B138" connectionId="0">
    <xmlCellPr id="1" uniqueName="1">
      <xmlPr mapId="43" xpath="/ns1:Root/ns1:P9" xmlDataType="string"/>
    </xmlCellPr>
  </singleXmlCell>
  <singleXmlCell id="832" r="E138" connectionId="0">
    <xmlCellPr id="1" uniqueName="1">
      <xmlPr mapId="43" xpath="/ns1:Root/ns1:P9_Code" xmlDataType="double"/>
    </xmlCellPr>
  </singleXmlCell>
  <singleXmlCell id="833" r="F138" connectionId="0">
    <xmlCellPr id="1" uniqueName="1">
      <xmlPr mapId="43" xpath="/ns1:Root/ns1:P9_Tied" xmlDataType="double"/>
    </xmlCellPr>
  </singleXmlCell>
  <singleXmlCell id="834" r="B140" connectionId="0">
    <xmlCellPr id="1" uniqueName="1">
      <xmlPr mapId="43" xpath="/ns1:Root/ns1:P10" xmlDataType="string"/>
    </xmlCellPr>
  </singleXmlCell>
  <singleXmlCell id="835" r="E140" connectionId="0">
    <xmlCellPr id="1" uniqueName="1">
      <xmlPr mapId="43" xpath="/ns1:Root/ns1:P10_Code" xmlDataType="double"/>
    </xmlCellPr>
  </singleXmlCell>
  <singleXmlCell id="836" r="F140" connectionId="0">
    <xmlCellPr id="1" uniqueName="1">
      <xmlPr mapId="43" xpath="/ns1:Root/ns1:P10_Tied" xmlDataType="string"/>
    </xmlCellPr>
  </singleXmlCell>
  <singleXmlCell id="837" r="D26" connectionId="0">
    <xmlCellPr id="1" uniqueName="1">
      <xmlPr mapId="43" xpath="/ns1:Root/ns1:Currency" xmlDataType="string"/>
    </xmlCellPr>
  </singleXmlCell>
  <singleXmlCell id="586" r="O123" connectionId="0">
    <xmlCellPr id="1" uniqueName="1">
      <xmlPr mapId="43" xpath="/ns1:Root/ns1:Prog/ns1:Achieved__P8_1" xmlDataType="string"/>
    </xmlCellPr>
  </singleXmlCell>
  <singleXmlCell id="597" r="O124" connectionId="0">
    <xmlCellPr id="1" uniqueName="1">
      <xmlPr mapId="43" xpath="/ns1:Root/ns1:Prog/ns1:Target_P8_2" xmlDataType="double"/>
    </xmlCellPr>
  </singleXmlCell>
  <singleXmlCell id="609" r="O125" connectionId="0">
    <xmlCellPr id="1" uniqueName="1">
      <xmlPr mapId="43" xpath="/ns1:Root/ns1:Prog/ns1:Achieved__P8_2" xmlDataType="string"/>
    </xmlCellPr>
  </singleXmlCell>
  <singleXmlCell id="621" r="O126" connectionId="0">
    <xmlCellPr id="1" uniqueName="1">
      <xmlPr mapId="43" xpath="/ns1:Root/ns1:Prog/ns1:Target_P8_3" xmlDataType="double"/>
    </xmlCellPr>
  </singleXmlCell>
  <singleXmlCell id="633" r="O127" connectionId="0">
    <xmlCellPr id="1" uniqueName="1">
      <xmlPr mapId="43" xpath="/ns1:Root/ns1:Prog/ns1:Achieved__P8_3" xmlDataType="string"/>
    </xmlCellPr>
  </singleXmlCell>
  <singleXmlCell id="645" r="O128" connectionId="0">
    <xmlCellPr id="1" uniqueName="1">
      <xmlPr mapId="43" xpath="/ns1:Root/ns1:Prog/ns1:Target_P8_4" xmlDataType="double"/>
    </xmlCellPr>
  </singleXmlCell>
  <singleXmlCell id="657" r="O129" connectionId="0">
    <xmlCellPr id="1" uniqueName="1">
      <xmlPr mapId="43" xpath="/ns1:Root/ns1:Prog/ns1:Achieved__P8_4" xmlDataType="string"/>
    </xmlCellPr>
  </singleXmlCell>
  <singleXmlCell id="669" r="O130" connectionId="0">
    <xmlCellPr id="1" uniqueName="1">
      <xmlPr mapId="43" xpath="/ns1:Root/ns1:Prog/ns1:Target_P8_5" xmlDataType="double"/>
    </xmlCellPr>
  </singleXmlCell>
  <singleXmlCell id="681" r="O131" connectionId="0">
    <xmlCellPr id="1" uniqueName="1">
      <xmlPr mapId="43" xpath="/ns1:Root/ns1:Prog/ns1:Achieved__P8_5" xmlDataType="string"/>
    </xmlCellPr>
  </singleXmlCell>
  <singleXmlCell id="693" r="O132" connectionId="0">
    <xmlCellPr id="1" uniqueName="1">
      <xmlPr mapId="43" xpath="/ns1:Root/ns1:Prog/ns1:Target_P8_6" xmlDataType="double"/>
    </xmlCellPr>
  </singleXmlCell>
  <singleXmlCell id="705" r="O133" connectionId="0">
    <xmlCellPr id="1" uniqueName="1">
      <xmlPr mapId="43" xpath="/ns1:Root/ns1:Prog/ns1:Achieved__P8_6" xmlDataType="string"/>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tableSingleCells" Target="../tables/tableSingleCells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51"/>
  </sheetPr>
  <dimension ref="B1:O22"/>
  <sheetViews>
    <sheetView showGridLines="0" showRowColHeaders="0" view="pageBreakPreview" zoomScale="90" zoomScaleSheetLayoutView="90" workbookViewId="0"/>
  </sheetViews>
  <sheetFormatPr defaultColWidth="11" defaultRowHeight="15"/>
  <cols>
    <col min="1" max="1" width="1.140625" customWidth="1"/>
    <col min="2" max="10" width="11.42578125" customWidth="1"/>
    <col min="11" max="11" width="1.7109375" customWidth="1"/>
  </cols>
  <sheetData>
    <row r="1" spans="2:15" ht="25.5" customHeight="1"/>
    <row r="2" spans="2:15" ht="36">
      <c r="B2" s="563" t="str">
        <f>+'Grant Detail'!B3:J3</f>
        <v>Dashboard:  Ghana - MALARIA  (AngloGold Asanti (Ghana) Malaria Ltd)</v>
      </c>
      <c r="C2" s="563"/>
      <c r="D2" s="563"/>
      <c r="E2" s="563"/>
      <c r="F2" s="563"/>
      <c r="G2" s="563"/>
      <c r="H2" s="563"/>
      <c r="I2" s="563"/>
      <c r="J2" s="563"/>
      <c r="K2" s="563"/>
      <c r="L2" s="563"/>
      <c r="M2" s="1"/>
      <c r="N2" s="1"/>
      <c r="O2" s="1"/>
    </row>
    <row r="4" spans="2:15" ht="21">
      <c r="B4" s="564" t="str">
        <f>+IF('Data Entry'!G6="Please Select", "",'Data Entry'!G6) &amp;"  "&amp;+IF('Data Entry'!G8="Please Select", "", 'Data Entry'!G8&amp;",  ")&amp;+IF('Data Entry'!I8="Please Select","",'Data Entry'!I8)</f>
        <v>MALARIA  1,  New Funding Model</v>
      </c>
      <c r="C4" s="564"/>
      <c r="D4" s="564"/>
      <c r="E4" s="565"/>
      <c r="F4" s="229"/>
      <c r="G4" s="229"/>
      <c r="H4" s="321" t="str">
        <f>+'Data Entry'!B6&amp;" "&amp;+'Data Entry'!C6</f>
        <v>Grant No.: GHA-M-AGAMAL</v>
      </c>
      <c r="I4" s="321"/>
      <c r="J4" s="228"/>
      <c r="K4" s="229"/>
      <c r="L4" s="229"/>
    </row>
    <row r="22" spans="2:12" ht="26.25">
      <c r="B22" s="566" t="s">
        <v>382</v>
      </c>
      <c r="C22" s="567"/>
      <c r="D22" s="567"/>
      <c r="E22" s="567"/>
      <c r="F22" s="567"/>
      <c r="G22" s="567"/>
      <c r="H22" s="567"/>
      <c r="I22" s="567"/>
      <c r="J22" s="567"/>
      <c r="K22" s="567"/>
      <c r="L22" s="567"/>
    </row>
  </sheetData>
  <sheetProtection password="CFC9" sheet="1"/>
  <mergeCells count="3">
    <mergeCell ref="B2:L2"/>
    <mergeCell ref="B4:E4"/>
    <mergeCell ref="B22:L22"/>
  </mergeCells>
  <phoneticPr fontId="31" type="noConversion"/>
  <pageMargins left="0.70866141732283472" right="0.70866141732283472" top="0.74803149606299213" bottom="0.74803149606299213" header="0.31496062992125984" footer="0.31496062992125984"/>
  <pageSetup paperSize="9" orientation="landscape" r:id="rId1"/>
  <headerFooter>
    <oddFooter>&amp;L&amp;F&amp;C&amp;A&amp;R&amp;D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27"/>
  </sheetPr>
  <dimension ref="A1:O42"/>
  <sheetViews>
    <sheetView showGridLines="0" topLeftCell="A25" zoomScaleNormal="90" zoomScalePageLayoutView="90" workbookViewId="0">
      <selection activeCell="D30" sqref="D30:G30"/>
    </sheetView>
  </sheetViews>
  <sheetFormatPr defaultColWidth="8.85546875" defaultRowHeight="11.25"/>
  <cols>
    <col min="1" max="1" width="1.140625" style="31" customWidth="1"/>
    <col min="2" max="2" width="19.28515625" style="31" customWidth="1"/>
    <col min="3" max="3" width="1.140625" style="31" customWidth="1"/>
    <col min="4" max="4" width="17.140625" style="31" customWidth="1"/>
    <col min="5" max="5" width="17.42578125" style="31" customWidth="1"/>
    <col min="6" max="6" width="9.7109375" style="31" customWidth="1"/>
    <col min="7" max="7" width="13" style="31" customWidth="1"/>
    <col min="8" max="8" width="4.28515625" style="31" customWidth="1"/>
    <col min="9" max="9" width="15.85546875" style="31" customWidth="1"/>
    <col min="10" max="10" width="3.42578125" style="31" customWidth="1"/>
    <col min="11" max="11" width="7.42578125" style="32" customWidth="1"/>
    <col min="12" max="12" width="14.28515625" style="31" customWidth="1"/>
    <col min="13" max="13" width="12" style="31" customWidth="1"/>
    <col min="14" max="14" width="5.42578125" style="31" customWidth="1"/>
    <col min="15" max="15" width="2.42578125" style="31" customWidth="1"/>
    <col min="16" max="16384" width="8.85546875" style="31"/>
  </cols>
  <sheetData>
    <row r="1" spans="1:15" ht="38.25" customHeight="1">
      <c r="A1" s="151"/>
      <c r="B1" s="151"/>
      <c r="C1" s="151"/>
      <c r="D1" s="151"/>
      <c r="E1" s="151"/>
      <c r="F1" s="151"/>
      <c r="G1" s="151"/>
      <c r="H1" s="151"/>
      <c r="I1" s="151"/>
      <c r="J1" s="151"/>
      <c r="K1" s="152"/>
      <c r="L1" s="151"/>
      <c r="M1" s="151"/>
      <c r="N1" s="151"/>
    </row>
    <row r="2" spans="1:15" customFormat="1" ht="27.75" customHeight="1">
      <c r="A2" s="3"/>
      <c r="B2" s="826" t="str">
        <f>'Grant Detail'!B3:J3</f>
        <v>Dashboard:  Ghana - MALARIA  (AngloGold Asanti (Ghana) Malaria Ltd)</v>
      </c>
      <c r="C2" s="826"/>
      <c r="D2" s="826"/>
      <c r="E2" s="826"/>
      <c r="F2" s="826"/>
      <c r="G2" s="826"/>
      <c r="H2" s="826"/>
      <c r="I2" s="826"/>
      <c r="J2" s="826"/>
      <c r="K2" s="826"/>
      <c r="L2" s="826"/>
      <c r="M2" s="826"/>
      <c r="N2" s="826"/>
      <c r="O2" s="73"/>
    </row>
    <row r="3" spans="1:15" customFormat="1" ht="18.75">
      <c r="A3" s="3"/>
      <c r="B3" s="132" t="str">
        <f>+IF('Data Entry'!G8="Please Select","",'Data Entry'!G8)</f>
        <v>1</v>
      </c>
      <c r="C3" s="783" t="str">
        <f>+IF('Data Entry'!I8="Please Select","",'Data Entry'!I8)</f>
        <v>New Funding Model</v>
      </c>
      <c r="D3" s="783"/>
      <c r="E3" s="829"/>
      <c r="F3" s="829"/>
      <c r="G3" s="829"/>
      <c r="H3" s="829"/>
      <c r="I3" s="829"/>
      <c r="J3" s="829"/>
      <c r="K3" s="829"/>
      <c r="L3" s="132" t="str">
        <f>+'Data Entry'!B16</f>
        <v>Report Period:</v>
      </c>
      <c r="M3" s="199" t="str">
        <f>+'Data Entry'!C16</f>
        <v>P4</v>
      </c>
      <c r="N3" s="199"/>
      <c r="O3" s="31"/>
    </row>
    <row r="4" spans="1:15" customFormat="1" ht="15">
      <c r="A4" s="3"/>
      <c r="B4" s="132" t="str">
        <f>+'Data Entry'!B12</f>
        <v>Latest Rating:</v>
      </c>
      <c r="C4" s="830" t="str">
        <f>+IF('Data Entry'!C12="Please Select","",'Data Entry'!C12)</f>
        <v>A2</v>
      </c>
      <c r="D4" s="830"/>
      <c r="E4" s="782" t="str">
        <f>+'Data Entry'!C8</f>
        <v>AngloGold Asanti (Ghana) Malaria Ltd</v>
      </c>
      <c r="F4" s="782"/>
      <c r="G4" s="782"/>
      <c r="H4" s="782"/>
      <c r="I4" s="782"/>
      <c r="J4" s="782"/>
      <c r="K4" s="782"/>
      <c r="L4" s="132" t="str">
        <f>+'Data Entry'!D16</f>
        <v>From:</v>
      </c>
      <c r="M4" s="200">
        <f>+IF(ISBLANK('Data Entry'!E16),"",'Data Entry'!E16)</f>
        <v>42278</v>
      </c>
      <c r="N4" s="200"/>
      <c r="O4" s="31"/>
    </row>
    <row r="5" spans="1:15" customFormat="1" ht="18.75" customHeight="1">
      <c r="A5" s="3"/>
      <c r="B5" s="132"/>
      <c r="C5" s="132"/>
      <c r="D5" s="133"/>
      <c r="E5" s="782" t="str">
        <f>+'Data Entry'!G4</f>
        <v>Accelerating Access -- Home-Based Care &amp; Indoor Residual Spraying</v>
      </c>
      <c r="F5" s="782"/>
      <c r="G5" s="782"/>
      <c r="H5" s="782"/>
      <c r="I5" s="782"/>
      <c r="J5" s="782"/>
      <c r="K5" s="782"/>
      <c r="L5" s="132" t="str">
        <f>+'Data Entry'!F16</f>
        <v>To:</v>
      </c>
      <c r="M5" s="200">
        <f>+IF(ISBLANK('Data Entry'!G16),"",'Data Entry'!G16)</f>
        <v>42369</v>
      </c>
      <c r="N5" s="200"/>
    </row>
    <row r="6" spans="1:15" customFormat="1" ht="22.5" customHeight="1">
      <c r="A6" s="3"/>
      <c r="B6" s="137"/>
      <c r="C6" s="138"/>
      <c r="D6" s="139"/>
      <c r="E6" s="921" t="s">
        <v>316</v>
      </c>
      <c r="F6" s="921"/>
      <c r="G6" s="921"/>
      <c r="H6" s="921"/>
      <c r="I6" s="921"/>
      <c r="J6" s="921"/>
      <c r="K6" s="921"/>
      <c r="L6" s="2"/>
      <c r="M6" s="2"/>
      <c r="N6" s="2"/>
    </row>
    <row r="7" spans="1:15" s="33" customFormat="1" ht="4.5" customHeight="1">
      <c r="A7" s="153"/>
      <c r="B7" s="154"/>
      <c r="C7" s="154"/>
      <c r="D7" s="154"/>
      <c r="E7" s="154"/>
      <c r="F7" s="154"/>
      <c r="G7" s="154"/>
      <c r="H7" s="154"/>
      <c r="I7" s="154"/>
      <c r="J7" s="154"/>
      <c r="K7" s="154"/>
      <c r="L7" s="155"/>
      <c r="M7" s="155"/>
      <c r="N7" s="156"/>
    </row>
    <row r="8" spans="1:15" s="33" customFormat="1" ht="21" customHeight="1" thickBot="1">
      <c r="A8" s="153"/>
      <c r="B8" s="914" t="s">
        <v>105</v>
      </c>
      <c r="C8" s="914"/>
      <c r="D8" s="914"/>
      <c r="E8" s="914"/>
      <c r="F8" s="914"/>
      <c r="G8" s="914"/>
      <c r="H8" s="914"/>
      <c r="I8" s="914"/>
      <c r="J8" s="914"/>
      <c r="K8" s="914"/>
      <c r="L8" s="914"/>
      <c r="M8" s="914"/>
      <c r="N8" s="914"/>
    </row>
    <row r="9" spans="1:15" s="33" customFormat="1" ht="3.75" customHeight="1" thickBot="1">
      <c r="A9" s="153"/>
      <c r="B9" s="154"/>
      <c r="C9" s="154"/>
      <c r="D9" s="154"/>
      <c r="E9" s="154"/>
      <c r="F9" s="154"/>
      <c r="G9" s="154"/>
      <c r="H9" s="154"/>
      <c r="I9" s="154"/>
      <c r="J9" s="154"/>
      <c r="K9" s="154"/>
      <c r="L9" s="155"/>
      <c r="M9" s="155"/>
      <c r="N9" s="156"/>
    </row>
    <row r="10" spans="1:15" s="34" customFormat="1" ht="25.5" customHeight="1" thickBot="1">
      <c r="A10" s="157"/>
      <c r="B10" s="937" t="s">
        <v>100</v>
      </c>
      <c r="C10" s="932"/>
      <c r="D10" s="915" t="s">
        <v>104</v>
      </c>
      <c r="E10" s="916"/>
      <c r="F10" s="916"/>
      <c r="G10" s="917"/>
      <c r="H10" s="160"/>
      <c r="I10" s="915" t="s">
        <v>316</v>
      </c>
      <c r="J10" s="916"/>
      <c r="K10" s="916"/>
      <c r="L10" s="916"/>
      <c r="M10" s="916"/>
      <c r="N10" s="917"/>
    </row>
    <row r="11" spans="1:15" s="34" customFormat="1" ht="128.25" customHeight="1">
      <c r="A11" s="157"/>
      <c r="B11" s="391" t="s">
        <v>108</v>
      </c>
      <c r="C11" s="177"/>
      <c r="D11" s="924" t="str">
        <f>IF(ISBLANK(Finance!C9),"",(Finance!C9))</f>
        <v xml:space="preserve">AGAMAL's budget for t he period under review was $521,840 and had received its total annual disbursement in prior period. AGAMAL therefore did not receive any funds in the period under review. 
</v>
      </c>
      <c r="E11" s="924"/>
      <c r="F11" s="924"/>
      <c r="G11" s="925"/>
      <c r="H11" s="183"/>
      <c r="I11" s="929"/>
      <c r="J11" s="930"/>
      <c r="K11" s="930"/>
      <c r="L11" s="930"/>
      <c r="M11" s="930"/>
      <c r="N11" s="931"/>
    </row>
    <row r="12" spans="1:15" s="34" customFormat="1" ht="215.25" customHeight="1">
      <c r="A12" s="157"/>
      <c r="B12" s="392" t="s">
        <v>109</v>
      </c>
      <c r="C12" s="178"/>
      <c r="D12" s="924" t="str">
        <f>IF(ISBLANK(Finance!C23),"",(Finance!C23))</f>
        <v>Generally, there is a positive variance in all the cost categories except Health Products, Procurement and Supply Chain Management &amp; Programme Administration.The positive variance is as a result of the timing of the start of the NFM. The budget was made to cover 12 months however NFM implementation covered 10 months ie March to December 2015. The negative variance on Health Products &amp; Equipment is as a result of insecticides procured and paid for which includes quantities meant to be used for 2016 operations rolled over from the old grant. Port clearing and handling charges on the insecticides were not budgeted for in the period under review which resulted in the negative variance on the Procurement and Supply Chain Management cost category. Finally, rent for Wa Zonal/District office was paid in advance in December 2015 instead of January 2016 as provided for in the budget. Hence the negative variance on the Programme Administration cost category.</v>
      </c>
      <c r="E12" s="924"/>
      <c r="F12" s="924"/>
      <c r="G12" s="925"/>
      <c r="H12" s="183"/>
      <c r="I12" s="926"/>
      <c r="J12" s="927"/>
      <c r="K12" s="927"/>
      <c r="L12" s="927"/>
      <c r="M12" s="927"/>
      <c r="N12" s="928"/>
    </row>
    <row r="13" spans="1:15" s="34" customFormat="1" ht="43.5" customHeight="1">
      <c r="A13" s="157"/>
      <c r="B13" s="392" t="s">
        <v>110</v>
      </c>
      <c r="C13" s="178"/>
      <c r="D13" s="924" t="str">
        <f>IF(ISBLANK(Finance!I9),"",(Finance!I9))</f>
        <v>AGAMAL received its annual budget disbursement in prior period and therefore did not receive any funding during the period under review. However, AGAMAL's total expenditure for the period October to December,2015 was $757,624.46.The excess expenditure over disbursement received was as a result of timing differences between budget and actual payment.</v>
      </c>
      <c r="E13" s="924"/>
      <c r="F13" s="924"/>
      <c r="G13" s="925"/>
      <c r="H13" s="183"/>
      <c r="I13" s="926"/>
      <c r="J13" s="927"/>
      <c r="K13" s="927"/>
      <c r="L13" s="927"/>
      <c r="M13" s="927"/>
      <c r="N13" s="928"/>
    </row>
    <row r="14" spans="1:15" s="34" customFormat="1" ht="43.5" customHeight="1" thickBot="1">
      <c r="A14" s="157"/>
      <c r="B14" s="393" t="s">
        <v>111</v>
      </c>
      <c r="C14" s="179"/>
      <c r="D14" s="944" t="str">
        <f>IF(ISBLANK(Finance!I23),"",(Finance!I23))</f>
        <v/>
      </c>
      <c r="E14" s="944"/>
      <c r="F14" s="944"/>
      <c r="G14" s="945"/>
      <c r="H14" s="183"/>
      <c r="I14" s="934"/>
      <c r="J14" s="935"/>
      <c r="K14" s="935"/>
      <c r="L14" s="935"/>
      <c r="M14" s="935"/>
      <c r="N14" s="936"/>
    </row>
    <row r="15" spans="1:15" s="34" customFormat="1" ht="4.5" customHeight="1">
      <c r="A15" s="157"/>
      <c r="B15" s="180"/>
      <c r="C15" s="181"/>
      <c r="D15" s="182"/>
      <c r="E15" s="182"/>
      <c r="F15" s="182"/>
      <c r="G15" s="182"/>
      <c r="H15" s="183"/>
      <c r="I15" s="184"/>
      <c r="J15" s="184"/>
      <c r="K15" s="184"/>
      <c r="L15" s="184"/>
      <c r="M15" s="184"/>
      <c r="N15" s="184"/>
      <c r="O15" s="75"/>
    </row>
    <row r="16" spans="1:15" s="33" customFormat="1" ht="21" customHeight="1" thickBot="1">
      <c r="A16" s="153"/>
      <c r="B16" s="914" t="s">
        <v>107</v>
      </c>
      <c r="C16" s="914"/>
      <c r="D16" s="914"/>
      <c r="E16" s="914"/>
      <c r="F16" s="914"/>
      <c r="G16" s="914"/>
      <c r="H16" s="914"/>
      <c r="I16" s="914"/>
      <c r="J16" s="914"/>
      <c r="K16" s="914"/>
      <c r="L16" s="914"/>
      <c r="M16" s="914"/>
      <c r="N16" s="914"/>
    </row>
    <row r="17" spans="1:15" s="34" customFormat="1" ht="3.75" customHeight="1" thickBot="1">
      <c r="A17" s="157"/>
      <c r="B17" s="166"/>
      <c r="C17" s="167"/>
      <c r="D17" s="168"/>
      <c r="E17" s="169"/>
      <c r="F17" s="170"/>
      <c r="G17" s="170"/>
      <c r="H17" s="171"/>
      <c r="I17" s="172"/>
      <c r="J17" s="173"/>
      <c r="K17" s="162"/>
      <c r="L17" s="163"/>
      <c r="M17" s="164"/>
      <c r="N17" s="165"/>
    </row>
    <row r="18" spans="1:15" s="34" customFormat="1" ht="22.5" customHeight="1" thickBot="1">
      <c r="A18" s="157"/>
      <c r="B18" s="932" t="s">
        <v>101</v>
      </c>
      <c r="C18" s="933"/>
      <c r="D18" s="941" t="s">
        <v>104</v>
      </c>
      <c r="E18" s="942"/>
      <c r="F18" s="942"/>
      <c r="G18" s="943"/>
      <c r="H18" s="160"/>
      <c r="I18" s="938" t="s">
        <v>316</v>
      </c>
      <c r="J18" s="939"/>
      <c r="K18" s="939"/>
      <c r="L18" s="939"/>
      <c r="M18" s="940"/>
      <c r="N18" s="940"/>
    </row>
    <row r="19" spans="1:15" s="34" customFormat="1" ht="21.95" customHeight="1">
      <c r="A19" s="157"/>
      <c r="B19" s="394" t="s">
        <v>116</v>
      </c>
      <c r="C19" s="185"/>
      <c r="D19" s="922" t="str">
        <f>IF(ISBLANK(Management!C8),"",(Management!C8))</f>
        <v/>
      </c>
      <c r="E19" s="922"/>
      <c r="F19" s="922"/>
      <c r="G19" s="923"/>
      <c r="H19" s="186"/>
      <c r="I19" s="918"/>
      <c r="J19" s="919"/>
      <c r="K19" s="919"/>
      <c r="L19" s="919"/>
      <c r="M19" s="919"/>
      <c r="N19" s="920"/>
    </row>
    <row r="20" spans="1:15" ht="24.75" customHeight="1">
      <c r="A20" s="151"/>
      <c r="B20" s="395" t="s">
        <v>117</v>
      </c>
      <c r="C20" s="187"/>
      <c r="D20" s="924" t="str">
        <f>IF(ISBLANK(Management!I8),"",(Management!I8))</f>
        <v/>
      </c>
      <c r="E20" s="924" t="e">
        <f>+'Data Entry'!D77/'Data Entry'!G77</f>
        <v>#DIV/0!</v>
      </c>
      <c r="F20" s="924" t="e">
        <f>+('Data Entry'!E77+'Data Entry'!F77)/'Data Entry'!G77</f>
        <v>#DIV/0!</v>
      </c>
      <c r="G20" s="950"/>
      <c r="H20" s="186"/>
      <c r="I20" s="946"/>
      <c r="J20" s="947"/>
      <c r="K20" s="947"/>
      <c r="L20" s="947"/>
      <c r="M20" s="947"/>
      <c r="N20" s="948"/>
      <c r="O20" s="35"/>
    </row>
    <row r="21" spans="1:15" ht="29.25" customHeight="1">
      <c r="A21" s="151"/>
      <c r="B21" s="396" t="s">
        <v>118</v>
      </c>
      <c r="C21" s="187"/>
      <c r="D21" s="924" t="str">
        <f>IF(ISBLANK(Management!C16),"",(Management!C16))</f>
        <v/>
      </c>
      <c r="E21" s="924"/>
      <c r="F21" s="924"/>
      <c r="G21" s="950"/>
      <c r="H21" s="186"/>
      <c r="I21" s="946"/>
      <c r="J21" s="947"/>
      <c r="K21" s="947"/>
      <c r="L21" s="947"/>
      <c r="M21" s="947"/>
      <c r="N21" s="948"/>
      <c r="O21" s="35"/>
    </row>
    <row r="22" spans="1:15" ht="26.25" customHeight="1">
      <c r="A22" s="151"/>
      <c r="B22" s="396" t="s">
        <v>119</v>
      </c>
      <c r="C22" s="187"/>
      <c r="D22" s="924" t="str">
        <f>IF(ISBLANK(Management!I16),"",(Management!I16))</f>
        <v/>
      </c>
      <c r="E22" s="924"/>
      <c r="F22" s="924"/>
      <c r="G22" s="950"/>
      <c r="H22" s="186"/>
      <c r="I22" s="946"/>
      <c r="J22" s="947"/>
      <c r="K22" s="947"/>
      <c r="L22" s="947"/>
      <c r="M22" s="947"/>
      <c r="N22" s="948"/>
      <c r="O22" s="35"/>
    </row>
    <row r="23" spans="1:15" ht="63" customHeight="1">
      <c r="A23" s="151"/>
      <c r="B23" s="396" t="s">
        <v>120</v>
      </c>
      <c r="C23" s="187"/>
      <c r="D23" s="924" t="str">
        <f>IF(ISBLANK(Management!C27),"",(Management!C27))</f>
        <v>Out of a budget of $133,279  $5,148,057 was spent on health products and equipment. The deficit is as a result of a roll over cost prior to the New Funding Model. Its associated budget in 2014 was not fully utilised because of delays in procuring them due to Global Fund's request for Quality Assurance Testing and the general change in spray plan.</v>
      </c>
      <c r="E23" s="924"/>
      <c r="F23" s="924"/>
      <c r="G23" s="950"/>
      <c r="H23" s="186"/>
      <c r="I23" s="946"/>
      <c r="J23" s="947"/>
      <c r="K23" s="947"/>
      <c r="L23" s="947"/>
      <c r="M23" s="947"/>
      <c r="N23" s="948"/>
      <c r="O23" s="35"/>
    </row>
    <row r="24" spans="1:15" ht="27" customHeight="1" thickBot="1">
      <c r="A24" s="151"/>
      <c r="B24" s="397" t="s">
        <v>121</v>
      </c>
      <c r="C24" s="188"/>
      <c r="D24" s="951" t="str">
        <f>IF(ISBLANK(Management!I27),"",(Management!I27))</f>
        <v/>
      </c>
      <c r="E24" s="951"/>
      <c r="F24" s="951"/>
      <c r="G24" s="952"/>
      <c r="H24" s="186"/>
      <c r="I24" s="956"/>
      <c r="J24" s="957"/>
      <c r="K24" s="957"/>
      <c r="L24" s="957"/>
      <c r="M24" s="957"/>
      <c r="N24" s="958"/>
      <c r="O24" s="35"/>
    </row>
    <row r="25" spans="1:15" ht="4.5" customHeight="1">
      <c r="A25" s="153"/>
      <c r="B25" s="158"/>
      <c r="C25" s="159"/>
      <c r="D25" s="174"/>
      <c r="E25" s="175"/>
      <c r="F25" s="176"/>
      <c r="G25" s="176"/>
      <c r="H25" s="160"/>
      <c r="I25" s="175"/>
      <c r="J25" s="161"/>
      <c r="K25" s="162"/>
      <c r="L25" s="163"/>
      <c r="M25" s="164"/>
      <c r="N25" s="165"/>
      <c r="O25" s="35"/>
    </row>
    <row r="26" spans="1:15" s="33" customFormat="1" ht="21" customHeight="1" thickBot="1">
      <c r="A26" s="153"/>
      <c r="B26" s="914" t="s">
        <v>106</v>
      </c>
      <c r="C26" s="914"/>
      <c r="D26" s="914"/>
      <c r="E26" s="914"/>
      <c r="F26" s="914"/>
      <c r="G26" s="914"/>
      <c r="H26" s="914"/>
      <c r="I26" s="914"/>
      <c r="J26" s="914"/>
      <c r="K26" s="914"/>
      <c r="L26" s="914"/>
      <c r="M26" s="914"/>
      <c r="N26" s="914"/>
    </row>
    <row r="27" spans="1:15" ht="3.75" customHeight="1" thickBot="1">
      <c r="A27" s="153"/>
      <c r="B27" s="158"/>
      <c r="C27" s="159"/>
      <c r="D27" s="174"/>
      <c r="E27" s="175"/>
      <c r="F27" s="176"/>
      <c r="G27" s="176"/>
      <c r="H27" s="160"/>
      <c r="I27" s="175"/>
      <c r="J27" s="161"/>
      <c r="K27" s="162"/>
      <c r="L27" s="163"/>
      <c r="M27" s="164"/>
      <c r="N27" s="165"/>
      <c r="O27" s="35"/>
    </row>
    <row r="28" spans="1:15" ht="21.75" customHeight="1" thickBot="1">
      <c r="A28" s="151"/>
      <c r="B28" s="937" t="s">
        <v>14</v>
      </c>
      <c r="C28" s="933"/>
      <c r="D28" s="902" t="s">
        <v>104</v>
      </c>
      <c r="E28" s="903"/>
      <c r="F28" s="903"/>
      <c r="G28" s="904"/>
      <c r="H28" s="160"/>
      <c r="I28" s="902" t="s">
        <v>316</v>
      </c>
      <c r="J28" s="903"/>
      <c r="K28" s="903"/>
      <c r="L28" s="903"/>
      <c r="M28" s="903"/>
      <c r="N28" s="904"/>
      <c r="O28" s="35"/>
    </row>
    <row r="29" spans="1:15" ht="57" customHeight="1">
      <c r="A29" s="151"/>
      <c r="B29" s="398" t="s">
        <v>435</v>
      </c>
      <c r="C29" s="189"/>
      <c r="D29" s="905" t="str">
        <f>IF(ISBLANK(Programmatic!C9),"",(Programmatic!C9))</f>
        <v>No population coverage for the period under review as there was no spraying done between October to December, 2015. AGAMaL is currently spraying with a long lasting insecticide (Actelic 300CS) with residual efficacy of about 9 months. Thus only one round of spraying would be done each spray year.</v>
      </c>
      <c r="E29" s="906"/>
      <c r="F29" s="906"/>
      <c r="G29" s="907"/>
      <c r="H29" s="186"/>
      <c r="I29" s="953"/>
      <c r="J29" s="954"/>
      <c r="K29" s="954"/>
      <c r="L29" s="954"/>
      <c r="M29" s="954"/>
      <c r="N29" s="955"/>
      <c r="O29" s="35"/>
    </row>
    <row r="30" spans="1:15" ht="102.75" customHeight="1">
      <c r="A30" s="151"/>
      <c r="B30" s="399" t="s">
        <v>436</v>
      </c>
      <c r="C30" s="190"/>
      <c r="D30" s="949" t="str">
        <f>IF(ISBLANK(Programmatic!G9),"",(Programmatic!G9))</f>
        <v xml:space="preserve">The last spraying for the year was done from April to June, 2015 and data already reported to CCM. Spraying was not done for the current reporting period under review; hence the entries for Target and Achieved are zero  </v>
      </c>
      <c r="E30" s="900"/>
      <c r="F30" s="900"/>
      <c r="G30" s="901"/>
      <c r="H30" s="186"/>
      <c r="I30" s="908"/>
      <c r="J30" s="909"/>
      <c r="K30" s="909"/>
      <c r="L30" s="909"/>
      <c r="M30" s="909"/>
      <c r="N30" s="910"/>
      <c r="O30" s="35"/>
    </row>
    <row r="31" spans="1:15" ht="42" customHeight="1">
      <c r="A31" s="151"/>
      <c r="B31" s="399" t="s">
        <v>437</v>
      </c>
      <c r="C31" s="190"/>
      <c r="D31" s="949" t="str">
        <f>IF(ISBLANK(Programmatic!M9),"",(Programmatic!M9))</f>
        <v/>
      </c>
      <c r="E31" s="900"/>
      <c r="F31" s="900"/>
      <c r="G31" s="901"/>
      <c r="H31" s="186"/>
      <c r="I31" s="908"/>
      <c r="J31" s="909"/>
      <c r="K31" s="909"/>
      <c r="L31" s="909"/>
      <c r="M31" s="909"/>
      <c r="N31" s="910"/>
      <c r="O31" s="35"/>
    </row>
    <row r="32" spans="1:15" ht="85.5" customHeight="1">
      <c r="A32" s="151"/>
      <c r="B32" s="400" t="s">
        <v>438</v>
      </c>
      <c r="C32" s="190"/>
      <c r="D32" s="899" t="str">
        <f>IF(ISBLANK(Programmatic!L20),"",(Programmatic!L20))</f>
        <v>No population coverage for the period under review as there was no spraying done between October to December, 2015. AGAMaL is currently spraying with a long lasting insecticide (Actelic 300CS) with residual efficacy of about 9 months. Thus only one round of spraying would be done each spray year.</v>
      </c>
      <c r="E32" s="900"/>
      <c r="F32" s="900"/>
      <c r="G32" s="901"/>
      <c r="H32" s="186"/>
      <c r="I32" s="908"/>
      <c r="J32" s="909"/>
      <c r="K32" s="909"/>
      <c r="L32" s="909"/>
      <c r="M32" s="909"/>
      <c r="N32" s="910"/>
      <c r="O32" s="35"/>
    </row>
    <row r="33" spans="1:15" ht="103.5" customHeight="1">
      <c r="A33" s="151"/>
      <c r="B33" s="400" t="s">
        <v>439</v>
      </c>
      <c r="C33" s="190"/>
      <c r="D33" s="899" t="str">
        <f>IF(ISBLANK(Programmatic!L21),"",(Programmatic!L21))</f>
        <v xml:space="preserve">The last spraying for the year was done from April to June, 2015 and data already reported to CCM. Spraying was not done for the current reporting period under review; hence the entries for Target and Achieved are zero  </v>
      </c>
      <c r="E33" s="900"/>
      <c r="F33" s="900"/>
      <c r="G33" s="901"/>
      <c r="H33" s="186"/>
      <c r="I33" s="908"/>
      <c r="J33" s="909"/>
      <c r="K33" s="909"/>
      <c r="L33" s="909"/>
      <c r="M33" s="909"/>
      <c r="N33" s="910"/>
      <c r="O33" s="35"/>
    </row>
    <row r="34" spans="1:15" ht="27.75" customHeight="1">
      <c r="A34" s="151"/>
      <c r="B34" s="400" t="s">
        <v>440</v>
      </c>
      <c r="C34" s="190"/>
      <c r="D34" s="899" t="str">
        <f>IF(ISBLANK(Programmatic!L22),"",(Programmatic!L22))</f>
        <v/>
      </c>
      <c r="E34" s="900"/>
      <c r="F34" s="900"/>
      <c r="G34" s="901"/>
      <c r="H34" s="186"/>
      <c r="I34" s="908"/>
      <c r="J34" s="909"/>
      <c r="K34" s="909"/>
      <c r="L34" s="909"/>
      <c r="M34" s="909"/>
      <c r="N34" s="910"/>
      <c r="O34" s="35"/>
    </row>
    <row r="35" spans="1:15" ht="21.95" customHeight="1">
      <c r="A35" s="151"/>
      <c r="B35" s="400" t="s">
        <v>441</v>
      </c>
      <c r="C35" s="232"/>
      <c r="D35" s="899" t="str">
        <f>IF(ISBLANK(Programmatic!L23),"",(Programmatic!L23))</f>
        <v/>
      </c>
      <c r="E35" s="900"/>
      <c r="F35" s="900"/>
      <c r="G35" s="901"/>
      <c r="H35" s="186"/>
      <c r="I35" s="908"/>
      <c r="J35" s="909"/>
      <c r="K35" s="909"/>
      <c r="L35" s="909"/>
      <c r="M35" s="909"/>
      <c r="N35" s="910"/>
      <c r="O35" s="35"/>
    </row>
    <row r="36" spans="1:15" ht="21.95" customHeight="1">
      <c r="A36" s="151"/>
      <c r="B36" s="400" t="s">
        <v>442</v>
      </c>
      <c r="C36" s="232"/>
      <c r="D36" s="899" t="str">
        <f>IF(ISBLANK(Programmatic!L24),"",(Programmatic!L24))</f>
        <v/>
      </c>
      <c r="E36" s="900"/>
      <c r="F36" s="900"/>
      <c r="G36" s="901"/>
      <c r="H36" s="186"/>
      <c r="I36" s="908"/>
      <c r="J36" s="909"/>
      <c r="K36" s="909"/>
      <c r="L36" s="909"/>
      <c r="M36" s="909"/>
      <c r="N36" s="910"/>
      <c r="O36" s="35"/>
    </row>
    <row r="37" spans="1:15" ht="64.5" customHeight="1">
      <c r="A37" s="151"/>
      <c r="B37" s="400" t="s">
        <v>443</v>
      </c>
      <c r="C37" s="232"/>
      <c r="D37" s="899" t="str">
        <f>IF(ISBLANK(Programmatic!L25),"",(Programmatic!L25))</f>
        <v/>
      </c>
      <c r="E37" s="900"/>
      <c r="F37" s="900"/>
      <c r="G37" s="901"/>
      <c r="H37" s="186"/>
      <c r="I37" s="908"/>
      <c r="J37" s="909"/>
      <c r="K37" s="909"/>
      <c r="L37" s="909"/>
      <c r="M37" s="909"/>
      <c r="N37" s="910"/>
      <c r="O37" s="35"/>
    </row>
    <row r="38" spans="1:15" ht="21.95" customHeight="1">
      <c r="A38" s="151"/>
      <c r="B38" s="400" t="s">
        <v>444</v>
      </c>
      <c r="C38" s="232"/>
      <c r="D38" s="899" t="str">
        <f>IF(ISBLANK(Programmatic!L26),"",(Programmatic!L26))</f>
        <v/>
      </c>
      <c r="E38" s="900"/>
      <c r="F38" s="900"/>
      <c r="G38" s="901"/>
      <c r="H38" s="186"/>
      <c r="I38" s="908"/>
      <c r="J38" s="909"/>
      <c r="K38" s="909"/>
      <c r="L38" s="909"/>
      <c r="M38" s="909"/>
      <c r="N38" s="910"/>
      <c r="O38" s="35"/>
    </row>
    <row r="39" spans="1:15" ht="21.95" customHeight="1">
      <c r="A39" s="151"/>
      <c r="B39" s="400" t="s">
        <v>445</v>
      </c>
      <c r="C39" s="232"/>
      <c r="D39" s="899" t="str">
        <f>IF(ISBLANK(Programmatic!L27),"",(Programmatic!L27))</f>
        <v/>
      </c>
      <c r="E39" s="900"/>
      <c r="F39" s="900"/>
      <c r="G39" s="901"/>
      <c r="H39" s="186"/>
      <c r="I39" s="908"/>
      <c r="J39" s="909"/>
      <c r="K39" s="909"/>
      <c r="L39" s="909"/>
      <c r="M39" s="909"/>
      <c r="N39" s="910"/>
      <c r="O39" s="35"/>
    </row>
    <row r="40" spans="1:15" ht="21.95" customHeight="1">
      <c r="A40" s="151"/>
      <c r="B40" s="400" t="s">
        <v>446</v>
      </c>
      <c r="C40" s="232"/>
      <c r="D40" s="899" t="str">
        <f>IF(ISBLANK(Programmatic!L28),"",(Programmatic!L28))</f>
        <v/>
      </c>
      <c r="E40" s="900"/>
      <c r="F40" s="900"/>
      <c r="G40" s="901"/>
      <c r="H40" s="186"/>
      <c r="I40" s="908"/>
      <c r="J40" s="909"/>
      <c r="K40" s="909"/>
      <c r="L40" s="909"/>
      <c r="M40" s="909"/>
      <c r="N40" s="910"/>
      <c r="O40" s="35"/>
    </row>
    <row r="41" spans="1:15" ht="21.95" customHeight="1" thickBot="1">
      <c r="A41" s="151"/>
      <c r="B41" s="400" t="s">
        <v>447</v>
      </c>
      <c r="C41" s="191"/>
      <c r="D41" s="899" t="str">
        <f>IF(ISBLANK(Programmatic!L29),"",(Programmatic!L29))</f>
        <v/>
      </c>
      <c r="E41" s="900"/>
      <c r="F41" s="900"/>
      <c r="G41" s="901"/>
      <c r="H41" s="186"/>
      <c r="I41" s="911"/>
      <c r="J41" s="912"/>
      <c r="K41" s="912"/>
      <c r="L41" s="912"/>
      <c r="M41" s="912"/>
      <c r="N41" s="913"/>
      <c r="O41" s="35"/>
    </row>
    <row r="42" spans="1:15" ht="14.25">
      <c r="A42" s="151"/>
      <c r="B42" s="192"/>
      <c r="C42" s="192"/>
      <c r="D42" s="193"/>
      <c r="E42" s="151"/>
      <c r="F42" s="192"/>
      <c r="G42" s="192"/>
      <c r="H42" s="151"/>
      <c r="I42" s="194"/>
      <c r="J42" s="151"/>
      <c r="K42" s="195"/>
      <c r="L42" s="195"/>
      <c r="M42" s="195"/>
      <c r="N42" s="195"/>
      <c r="O42" s="35"/>
    </row>
  </sheetData>
  <sheetProtection password="CFC9" sheet="1" objects="1" scenarios="1"/>
  <mergeCells count="65">
    <mergeCell ref="I36:N36"/>
    <mergeCell ref="I37:N37"/>
    <mergeCell ref="I38:N38"/>
    <mergeCell ref="I39:N39"/>
    <mergeCell ref="I24:N24"/>
    <mergeCell ref="I33:N33"/>
    <mergeCell ref="I30:N30"/>
    <mergeCell ref="I34:N34"/>
    <mergeCell ref="I20:N20"/>
    <mergeCell ref="B26:N26"/>
    <mergeCell ref="D36:G36"/>
    <mergeCell ref="D30:G30"/>
    <mergeCell ref="D31:G31"/>
    <mergeCell ref="I21:N21"/>
    <mergeCell ref="D20:G20"/>
    <mergeCell ref="B28:C28"/>
    <mergeCell ref="D22:G22"/>
    <mergeCell ref="D23:G23"/>
    <mergeCell ref="I22:N22"/>
    <mergeCell ref="I23:N23"/>
    <mergeCell ref="D21:G21"/>
    <mergeCell ref="D24:G24"/>
    <mergeCell ref="D33:G33"/>
    <mergeCell ref="I29:N29"/>
    <mergeCell ref="B18:C18"/>
    <mergeCell ref="I13:N13"/>
    <mergeCell ref="I14:N14"/>
    <mergeCell ref="B10:C10"/>
    <mergeCell ref="D10:G10"/>
    <mergeCell ref="I18:N18"/>
    <mergeCell ref="D18:G18"/>
    <mergeCell ref="B16:N16"/>
    <mergeCell ref="D14:G14"/>
    <mergeCell ref="B8:N8"/>
    <mergeCell ref="I10:N10"/>
    <mergeCell ref="I19:N19"/>
    <mergeCell ref="B2:N2"/>
    <mergeCell ref="E5:K5"/>
    <mergeCell ref="E6:K6"/>
    <mergeCell ref="E3:K3"/>
    <mergeCell ref="C4:D4"/>
    <mergeCell ref="E4:K4"/>
    <mergeCell ref="C3:D3"/>
    <mergeCell ref="D19:G19"/>
    <mergeCell ref="D11:G11"/>
    <mergeCell ref="D13:G13"/>
    <mergeCell ref="I12:N12"/>
    <mergeCell ref="D12:G12"/>
    <mergeCell ref="I11:N11"/>
    <mergeCell ref="D41:G41"/>
    <mergeCell ref="I28:N28"/>
    <mergeCell ref="D40:G40"/>
    <mergeCell ref="D34:G34"/>
    <mergeCell ref="D29:G29"/>
    <mergeCell ref="D28:G28"/>
    <mergeCell ref="I31:N31"/>
    <mergeCell ref="I40:N40"/>
    <mergeCell ref="I41:N41"/>
    <mergeCell ref="I35:N35"/>
    <mergeCell ref="D35:G35"/>
    <mergeCell ref="D32:G32"/>
    <mergeCell ref="D39:G39"/>
    <mergeCell ref="D38:G38"/>
    <mergeCell ref="D37:G37"/>
    <mergeCell ref="I32:N32"/>
  </mergeCells>
  <phoneticPr fontId="31" type="noConversion"/>
  <conditionalFormatting sqref="C4:D4">
    <cfRule type="cellIs" dxfId="2" priority="1" stopIfTrue="1" operator="equal">
      <formula>"C"</formula>
    </cfRule>
    <cfRule type="cellIs" dxfId="1" priority="2" stopIfTrue="1" operator="equal">
      <formula>"B2"</formula>
    </cfRule>
    <cfRule type="cellIs" dxfId="0" priority="3" stopIfTrue="1" operator="equal">
      <formula>"B1"</formula>
    </cfRule>
  </conditionalFormatting>
  <pageMargins left="0.70866141732283472" right="0.70866141732283472" top="0.74803149606299213" bottom="0.74803149606299213" header="0.31496062992125984" footer="0.31496062992125984"/>
  <pageSetup paperSize="9" scale="57" orientation="landscape"/>
  <headerFooter alignWithMargins="0">
    <oddFooter>&amp;L&amp;F&amp;C&amp;A&amp;RV1.0          &amp;D</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2:O144"/>
  <sheetViews>
    <sheetView showGridLines="0" zoomScale="80" zoomScaleNormal="80" zoomScalePageLayoutView="80" workbookViewId="0">
      <selection activeCell="I30" sqref="I30"/>
    </sheetView>
  </sheetViews>
  <sheetFormatPr defaultColWidth="11" defaultRowHeight="15"/>
  <cols>
    <col min="1" max="1" width="11.42578125" customWidth="1"/>
    <col min="2" max="2" width="16.140625" customWidth="1"/>
    <col min="3" max="3" width="14.7109375" customWidth="1"/>
    <col min="4" max="4" width="15.42578125" customWidth="1"/>
    <col min="5" max="6" width="11.42578125" customWidth="1"/>
    <col min="7" max="7" width="14.42578125" customWidth="1"/>
    <col min="8" max="8" width="35.42578125" customWidth="1"/>
    <col min="9" max="9" width="45.7109375" customWidth="1"/>
    <col min="10" max="10" width="33.42578125" customWidth="1"/>
    <col min="11" max="12" width="11.42578125" customWidth="1"/>
    <col min="13" max="13" width="28.42578125" customWidth="1"/>
    <col min="14" max="14" width="46.42578125" customWidth="1"/>
  </cols>
  <sheetData>
    <row r="2" spans="2:15" ht="25.5" customHeight="1"/>
    <row r="3" spans="2:15" ht="36">
      <c r="B3" s="959" t="str">
        <f>'Grant Detail'!B3:J3</f>
        <v>Dashboard:  Ghana - MALARIA  (AngloGold Asanti (Ghana) Malaria Ltd)</v>
      </c>
      <c r="C3" s="959"/>
      <c r="D3" s="959"/>
      <c r="E3" s="959"/>
      <c r="F3" s="959"/>
      <c r="G3" s="959"/>
      <c r="H3" s="959"/>
      <c r="I3" s="1"/>
    </row>
    <row r="6" spans="2:15" ht="18.75">
      <c r="B6" s="889" t="s">
        <v>317</v>
      </c>
      <c r="C6" s="889"/>
      <c r="D6" s="889"/>
      <c r="E6" s="889"/>
      <c r="F6" s="889"/>
      <c r="G6" s="889"/>
      <c r="H6" s="889"/>
    </row>
    <row r="8" spans="2:15" ht="18.75">
      <c r="B8" s="62" t="s">
        <v>40</v>
      </c>
      <c r="C8" s="62" t="s">
        <v>43</v>
      </c>
      <c r="D8" s="62" t="s">
        <v>44</v>
      </c>
      <c r="E8" s="62" t="s">
        <v>49</v>
      </c>
      <c r="F8" s="62" t="s">
        <v>291</v>
      </c>
      <c r="G8" s="62" t="s">
        <v>271</v>
      </c>
      <c r="H8" s="62" t="s">
        <v>297</v>
      </c>
      <c r="I8" s="63" t="s">
        <v>94</v>
      </c>
      <c r="J8" s="63" t="s">
        <v>135</v>
      </c>
      <c r="M8" s="19"/>
      <c r="N8" s="19"/>
      <c r="O8" s="19"/>
    </row>
    <row r="9" spans="2:15">
      <c r="B9" s="86" t="s">
        <v>355</v>
      </c>
      <c r="C9" s="86" t="s">
        <v>355</v>
      </c>
      <c r="D9" s="86" t="s">
        <v>355</v>
      </c>
      <c r="E9" s="86" t="s">
        <v>355</v>
      </c>
      <c r="F9" s="86" t="s">
        <v>355</v>
      </c>
      <c r="G9" s="86" t="s">
        <v>355</v>
      </c>
      <c r="H9" s="86" t="s">
        <v>355</v>
      </c>
      <c r="I9" s="381" t="s">
        <v>355</v>
      </c>
      <c r="J9" s="86" t="s">
        <v>355</v>
      </c>
      <c r="M9" s="19"/>
      <c r="N9" s="19"/>
      <c r="O9" s="19"/>
    </row>
    <row r="10" spans="2:15">
      <c r="B10" s="57" t="s">
        <v>35</v>
      </c>
      <c r="C10" s="57" t="s">
        <v>26</v>
      </c>
      <c r="D10" s="57" t="s">
        <v>24</v>
      </c>
      <c r="E10" s="57" t="s">
        <v>25</v>
      </c>
      <c r="F10" s="57" t="s">
        <v>112</v>
      </c>
      <c r="G10" s="390" t="s">
        <v>51</v>
      </c>
      <c r="H10" s="60" t="s">
        <v>56</v>
      </c>
      <c r="I10" s="27" t="s">
        <v>302</v>
      </c>
      <c r="J10" s="86" t="s">
        <v>136</v>
      </c>
      <c r="M10" s="19"/>
      <c r="N10" s="19"/>
      <c r="O10" s="19"/>
    </row>
    <row r="11" spans="2:15">
      <c r="B11" s="57" t="s">
        <v>41</v>
      </c>
      <c r="C11" s="57" t="s">
        <v>21</v>
      </c>
      <c r="D11" s="57" t="s">
        <v>27</v>
      </c>
      <c r="E11" s="57" t="s">
        <v>23</v>
      </c>
      <c r="F11" s="57" t="s">
        <v>113</v>
      </c>
      <c r="G11" s="390" t="s">
        <v>52</v>
      </c>
      <c r="H11" s="60" t="s">
        <v>57</v>
      </c>
      <c r="I11" s="27" t="s">
        <v>303</v>
      </c>
      <c r="J11" s="86" t="s">
        <v>137</v>
      </c>
      <c r="M11" s="19"/>
      <c r="N11" s="19"/>
      <c r="O11" s="19"/>
    </row>
    <row r="12" spans="2:15">
      <c r="B12" s="57" t="s">
        <v>42</v>
      </c>
      <c r="D12" s="57" t="s">
        <v>30</v>
      </c>
      <c r="E12" s="57" t="s">
        <v>31</v>
      </c>
      <c r="F12" s="57" t="s">
        <v>114</v>
      </c>
      <c r="G12" s="390" t="s">
        <v>53</v>
      </c>
      <c r="H12" s="60" t="s">
        <v>58</v>
      </c>
      <c r="I12" s="27" t="s">
        <v>304</v>
      </c>
      <c r="J12" s="86" t="s">
        <v>138</v>
      </c>
      <c r="M12" s="196"/>
      <c r="N12" s="19"/>
      <c r="O12" s="19"/>
    </row>
    <row r="13" spans="2:15">
      <c r="B13" s="57" t="s">
        <v>90</v>
      </c>
      <c r="D13" s="57" t="s">
        <v>32</v>
      </c>
      <c r="E13" s="58"/>
      <c r="F13" s="57" t="s">
        <v>115</v>
      </c>
      <c r="G13" s="390" t="s">
        <v>54</v>
      </c>
      <c r="H13" s="60" t="s">
        <v>59</v>
      </c>
      <c r="I13" s="27" t="s">
        <v>305</v>
      </c>
      <c r="J13" s="86" t="s">
        <v>139</v>
      </c>
      <c r="M13" s="196"/>
      <c r="N13" s="19"/>
      <c r="O13" s="19"/>
    </row>
    <row r="14" spans="2:15">
      <c r="B14" s="57" t="s">
        <v>91</v>
      </c>
      <c r="D14" s="57" t="s">
        <v>45</v>
      </c>
      <c r="F14" s="57" t="s">
        <v>126</v>
      </c>
      <c r="G14" s="390" t="s">
        <v>55</v>
      </c>
      <c r="H14" s="60" t="s">
        <v>60</v>
      </c>
      <c r="I14" s="27" t="s">
        <v>277</v>
      </c>
      <c r="J14" s="86" t="s">
        <v>140</v>
      </c>
      <c r="M14" s="196"/>
      <c r="N14" s="19"/>
      <c r="O14" s="19"/>
    </row>
    <row r="15" spans="2:15">
      <c r="D15" s="57" t="s">
        <v>46</v>
      </c>
      <c r="F15" s="57" t="s">
        <v>127</v>
      </c>
      <c r="H15" s="60" t="s">
        <v>61</v>
      </c>
      <c r="I15" s="27" t="s">
        <v>77</v>
      </c>
      <c r="J15" s="86" t="s">
        <v>141</v>
      </c>
      <c r="M15" s="196"/>
      <c r="N15" s="19"/>
      <c r="O15" s="19"/>
    </row>
    <row r="16" spans="2:15">
      <c r="D16" s="57" t="s">
        <v>47</v>
      </c>
      <c r="F16" s="57" t="s">
        <v>128</v>
      </c>
      <c r="H16" s="60" t="s">
        <v>62</v>
      </c>
      <c r="I16" s="27" t="s">
        <v>78</v>
      </c>
      <c r="J16" s="86" t="s">
        <v>142</v>
      </c>
      <c r="M16" s="196"/>
      <c r="N16" s="19"/>
      <c r="O16" s="19"/>
    </row>
    <row r="17" spans="2:15">
      <c r="D17" s="57" t="s">
        <v>48</v>
      </c>
      <c r="F17" s="57" t="s">
        <v>129</v>
      </c>
      <c r="H17" s="60" t="s">
        <v>63</v>
      </c>
      <c r="I17" s="27" t="s">
        <v>79</v>
      </c>
      <c r="J17" s="86" t="s">
        <v>143</v>
      </c>
      <c r="M17" s="196"/>
      <c r="N17" s="19"/>
      <c r="O17" s="19"/>
    </row>
    <row r="18" spans="2:15">
      <c r="D18" s="57" t="s">
        <v>22</v>
      </c>
      <c r="F18" s="57" t="s">
        <v>130</v>
      </c>
      <c r="H18" s="60" t="s">
        <v>64</v>
      </c>
      <c r="I18" s="27" t="s">
        <v>80</v>
      </c>
      <c r="J18" s="86" t="s">
        <v>144</v>
      </c>
      <c r="M18" s="196"/>
      <c r="N18" s="19"/>
      <c r="O18" s="19"/>
    </row>
    <row r="19" spans="2:15">
      <c r="D19" s="389" t="s">
        <v>351</v>
      </c>
      <c r="F19" s="57" t="s">
        <v>131</v>
      </c>
      <c r="H19" s="60" t="s">
        <v>65</v>
      </c>
      <c r="I19" s="27" t="s">
        <v>81</v>
      </c>
      <c r="J19" s="86" t="s">
        <v>145</v>
      </c>
      <c r="M19" s="196"/>
      <c r="N19" s="19"/>
      <c r="O19" s="19"/>
    </row>
    <row r="20" spans="2:15">
      <c r="D20" s="59"/>
      <c r="F20" s="57" t="s">
        <v>132</v>
      </c>
      <c r="H20" s="60" t="s">
        <v>268</v>
      </c>
      <c r="I20" s="27" t="s">
        <v>82</v>
      </c>
      <c r="J20" s="86" t="s">
        <v>146</v>
      </c>
      <c r="M20" s="19"/>
      <c r="N20" s="19"/>
      <c r="O20" s="19"/>
    </row>
    <row r="21" spans="2:15">
      <c r="D21" s="61"/>
      <c r="F21" s="57" t="s">
        <v>292</v>
      </c>
      <c r="H21" s="61"/>
      <c r="I21" s="27" t="s">
        <v>84</v>
      </c>
      <c r="J21" s="86" t="s">
        <v>147</v>
      </c>
      <c r="M21" s="19"/>
      <c r="N21" s="19"/>
      <c r="O21" s="19"/>
    </row>
    <row r="22" spans="2:15">
      <c r="H22" s="61"/>
      <c r="I22" s="27" t="s">
        <v>85</v>
      </c>
      <c r="J22" s="86" t="s">
        <v>148</v>
      </c>
      <c r="M22" s="19"/>
      <c r="N22" s="19"/>
      <c r="O22" s="19"/>
    </row>
    <row r="23" spans="2:15">
      <c r="I23" s="27" t="s">
        <v>83</v>
      </c>
      <c r="J23" s="86" t="s">
        <v>149</v>
      </c>
      <c r="M23" s="19"/>
      <c r="N23" s="19"/>
      <c r="O23" s="19"/>
    </row>
    <row r="24" spans="2:15">
      <c r="I24" s="27" t="s">
        <v>312</v>
      </c>
      <c r="J24" s="86" t="s">
        <v>150</v>
      </c>
      <c r="M24" s="19"/>
      <c r="N24" s="19"/>
      <c r="O24" s="19"/>
    </row>
    <row r="25" spans="2:15">
      <c r="I25" s="45"/>
      <c r="J25" s="86" t="s">
        <v>151</v>
      </c>
    </row>
    <row r="26" spans="2:15">
      <c r="I26" s="27" t="s">
        <v>315</v>
      </c>
      <c r="J26" s="86" t="s">
        <v>152</v>
      </c>
    </row>
    <row r="27" spans="2:15">
      <c r="I27" s="27" t="s">
        <v>311</v>
      </c>
      <c r="J27" s="86" t="s">
        <v>153</v>
      </c>
    </row>
    <row r="28" spans="2:15">
      <c r="I28" s="45" t="s">
        <v>413</v>
      </c>
      <c r="J28" s="86" t="s">
        <v>154</v>
      </c>
    </row>
    <row r="29" spans="2:15">
      <c r="I29" s="45" t="s">
        <v>414</v>
      </c>
      <c r="J29" s="86" t="s">
        <v>155</v>
      </c>
    </row>
    <row r="30" spans="2:15">
      <c r="I30" s="45" t="s">
        <v>415</v>
      </c>
      <c r="J30" s="86" t="s">
        <v>156</v>
      </c>
    </row>
    <row r="31" spans="2:15">
      <c r="B31" t="s">
        <v>410</v>
      </c>
      <c r="J31" s="86" t="s">
        <v>157</v>
      </c>
    </row>
    <row r="32" spans="2:15">
      <c r="B32" t="s">
        <v>409</v>
      </c>
      <c r="J32" s="86" t="s">
        <v>158</v>
      </c>
    </row>
    <row r="33" spans="10:10">
      <c r="J33" s="86" t="s">
        <v>159</v>
      </c>
    </row>
    <row r="34" spans="10:10">
      <c r="J34" s="86" t="s">
        <v>160</v>
      </c>
    </row>
    <row r="35" spans="10:10">
      <c r="J35" s="86" t="s">
        <v>161</v>
      </c>
    </row>
    <row r="36" spans="10:10">
      <c r="J36" s="86" t="s">
        <v>161</v>
      </c>
    </row>
    <row r="37" spans="10:10">
      <c r="J37" s="86" t="s">
        <v>162</v>
      </c>
    </row>
    <row r="38" spans="10:10">
      <c r="J38" s="86" t="s">
        <v>163</v>
      </c>
    </row>
    <row r="39" spans="10:10">
      <c r="J39" s="86" t="s">
        <v>164</v>
      </c>
    </row>
    <row r="40" spans="10:10">
      <c r="J40" s="86" t="s">
        <v>165</v>
      </c>
    </row>
    <row r="41" spans="10:10">
      <c r="J41" s="86" t="s">
        <v>166</v>
      </c>
    </row>
    <row r="42" spans="10:10">
      <c r="J42" s="86" t="s">
        <v>167</v>
      </c>
    </row>
    <row r="43" spans="10:10">
      <c r="J43" s="86" t="s">
        <v>168</v>
      </c>
    </row>
    <row r="44" spans="10:10">
      <c r="J44" s="86" t="s">
        <v>169</v>
      </c>
    </row>
    <row r="45" spans="10:10">
      <c r="J45" s="86" t="s">
        <v>170</v>
      </c>
    </row>
    <row r="46" spans="10:10">
      <c r="J46" s="86" t="s">
        <v>171</v>
      </c>
    </row>
    <row r="47" spans="10:10">
      <c r="J47" s="86" t="s">
        <v>172</v>
      </c>
    </row>
    <row r="48" spans="10:10">
      <c r="J48" s="86" t="s">
        <v>173</v>
      </c>
    </row>
    <row r="49" spans="10:10">
      <c r="J49" s="86" t="s">
        <v>174</v>
      </c>
    </row>
    <row r="50" spans="10:10">
      <c r="J50" s="86" t="s">
        <v>175</v>
      </c>
    </row>
    <row r="51" spans="10:10">
      <c r="J51" s="86" t="s">
        <v>176</v>
      </c>
    </row>
    <row r="52" spans="10:10">
      <c r="J52" s="86" t="s">
        <v>177</v>
      </c>
    </row>
    <row r="53" spans="10:10">
      <c r="J53" s="86" t="s">
        <v>178</v>
      </c>
    </row>
    <row r="54" spans="10:10">
      <c r="J54" s="86" t="s">
        <v>179</v>
      </c>
    </row>
    <row r="55" spans="10:10">
      <c r="J55" s="86" t="s">
        <v>180</v>
      </c>
    </row>
    <row r="56" spans="10:10">
      <c r="J56" s="86" t="s">
        <v>181</v>
      </c>
    </row>
    <row r="57" spans="10:10">
      <c r="J57" s="86" t="s">
        <v>182</v>
      </c>
    </row>
    <row r="58" spans="10:10">
      <c r="J58" s="86" t="s">
        <v>183</v>
      </c>
    </row>
    <row r="59" spans="10:10">
      <c r="J59" s="86" t="s">
        <v>184</v>
      </c>
    </row>
    <row r="60" spans="10:10">
      <c r="J60" s="86" t="s">
        <v>185</v>
      </c>
    </row>
    <row r="61" spans="10:10">
      <c r="J61" s="86" t="s">
        <v>186</v>
      </c>
    </row>
    <row r="62" spans="10:10">
      <c r="J62" s="86" t="s">
        <v>187</v>
      </c>
    </row>
    <row r="63" spans="10:10">
      <c r="J63" s="86" t="s">
        <v>188</v>
      </c>
    </row>
    <row r="64" spans="10:10">
      <c r="J64" s="86" t="s">
        <v>189</v>
      </c>
    </row>
    <row r="65" spans="10:10">
      <c r="J65" s="86" t="s">
        <v>190</v>
      </c>
    </row>
    <row r="66" spans="10:10">
      <c r="J66" s="86" t="s">
        <v>191</v>
      </c>
    </row>
    <row r="67" spans="10:10">
      <c r="J67" s="86" t="s">
        <v>192</v>
      </c>
    </row>
    <row r="68" spans="10:10">
      <c r="J68" s="86" t="s">
        <v>193</v>
      </c>
    </row>
    <row r="69" spans="10:10">
      <c r="J69" s="86" t="s">
        <v>194</v>
      </c>
    </row>
    <row r="70" spans="10:10">
      <c r="J70" s="86" t="s">
        <v>195</v>
      </c>
    </row>
    <row r="71" spans="10:10">
      <c r="J71" s="86" t="s">
        <v>196</v>
      </c>
    </row>
    <row r="72" spans="10:10">
      <c r="J72" s="86" t="s">
        <v>197</v>
      </c>
    </row>
    <row r="73" spans="10:10">
      <c r="J73" s="86" t="s">
        <v>198</v>
      </c>
    </row>
    <row r="74" spans="10:10">
      <c r="J74" s="86" t="s">
        <v>199</v>
      </c>
    </row>
    <row r="75" spans="10:10">
      <c r="J75" s="86" t="s">
        <v>200</v>
      </c>
    </row>
    <row r="76" spans="10:10">
      <c r="J76" s="86" t="s">
        <v>201</v>
      </c>
    </row>
    <row r="77" spans="10:10">
      <c r="J77" s="86" t="s">
        <v>202</v>
      </c>
    </row>
    <row r="78" spans="10:10">
      <c r="J78" s="86" t="s">
        <v>203</v>
      </c>
    </row>
    <row r="79" spans="10:10">
      <c r="J79" s="86" t="s">
        <v>204</v>
      </c>
    </row>
    <row r="80" spans="10:10">
      <c r="J80" s="86" t="s">
        <v>205</v>
      </c>
    </row>
    <row r="81" spans="10:10">
      <c r="J81" s="86" t="s">
        <v>206</v>
      </c>
    </row>
    <row r="82" spans="10:10">
      <c r="J82" s="86" t="s">
        <v>207</v>
      </c>
    </row>
    <row r="83" spans="10:10">
      <c r="J83" s="86" t="s">
        <v>208</v>
      </c>
    </row>
    <row r="84" spans="10:10">
      <c r="J84" s="86" t="s">
        <v>209</v>
      </c>
    </row>
    <row r="85" spans="10:10">
      <c r="J85" s="86" t="s">
        <v>210</v>
      </c>
    </row>
    <row r="86" spans="10:10">
      <c r="J86" s="86" t="s">
        <v>211</v>
      </c>
    </row>
    <row r="87" spans="10:10">
      <c r="J87" s="86" t="s">
        <v>212</v>
      </c>
    </row>
    <row r="88" spans="10:10">
      <c r="J88" s="86" t="s">
        <v>213</v>
      </c>
    </row>
    <row r="89" spans="10:10">
      <c r="J89" s="86" t="s">
        <v>214</v>
      </c>
    </row>
    <row r="90" spans="10:10">
      <c r="J90" s="86" t="s">
        <v>215</v>
      </c>
    </row>
    <row r="91" spans="10:10">
      <c r="J91" s="86" t="s">
        <v>216</v>
      </c>
    </row>
    <row r="92" spans="10:10">
      <c r="J92" s="86" t="s">
        <v>217</v>
      </c>
    </row>
    <row r="93" spans="10:10">
      <c r="J93" s="86" t="s">
        <v>218</v>
      </c>
    </row>
    <row r="94" spans="10:10">
      <c r="J94" s="86" t="s">
        <v>219</v>
      </c>
    </row>
    <row r="95" spans="10:10">
      <c r="J95" s="86" t="s">
        <v>220</v>
      </c>
    </row>
    <row r="96" spans="10:10">
      <c r="J96" s="86" t="s">
        <v>221</v>
      </c>
    </row>
    <row r="97" spans="10:10">
      <c r="J97" s="86" t="s">
        <v>222</v>
      </c>
    </row>
    <row r="98" spans="10:10">
      <c r="J98" s="86" t="s">
        <v>223</v>
      </c>
    </row>
    <row r="99" spans="10:10">
      <c r="J99" s="86" t="s">
        <v>224</v>
      </c>
    </row>
    <row r="100" spans="10:10">
      <c r="J100" s="86" t="s">
        <v>225</v>
      </c>
    </row>
    <row r="101" spans="10:10">
      <c r="J101" s="86" t="s">
        <v>226</v>
      </c>
    </row>
    <row r="102" spans="10:10">
      <c r="J102" s="86" t="s">
        <v>227</v>
      </c>
    </row>
    <row r="103" spans="10:10">
      <c r="J103" s="86" t="s">
        <v>228</v>
      </c>
    </row>
    <row r="104" spans="10:10">
      <c r="J104" s="86" t="s">
        <v>229</v>
      </c>
    </row>
    <row r="105" spans="10:10">
      <c r="J105" s="86" t="s">
        <v>230</v>
      </c>
    </row>
    <row r="106" spans="10:10">
      <c r="J106" s="86" t="s">
        <v>231</v>
      </c>
    </row>
    <row r="107" spans="10:10">
      <c r="J107" s="86" t="s">
        <v>232</v>
      </c>
    </row>
    <row r="108" spans="10:10">
      <c r="J108" s="86" t="s">
        <v>233</v>
      </c>
    </row>
    <row r="109" spans="10:10">
      <c r="J109" s="86" t="s">
        <v>234</v>
      </c>
    </row>
    <row r="110" spans="10:10">
      <c r="J110" s="86" t="s">
        <v>235</v>
      </c>
    </row>
    <row r="111" spans="10:10">
      <c r="J111" s="86" t="s">
        <v>87</v>
      </c>
    </row>
    <row r="112" spans="10:10">
      <c r="J112" s="86" t="s">
        <v>236</v>
      </c>
    </row>
    <row r="113" spans="10:10">
      <c r="J113" s="86" t="s">
        <v>237</v>
      </c>
    </row>
    <row r="114" spans="10:10">
      <c r="J114" s="86" t="s">
        <v>238</v>
      </c>
    </row>
    <row r="115" spans="10:10">
      <c r="J115" s="86" t="s">
        <v>239</v>
      </c>
    </row>
    <row r="116" spans="10:10">
      <c r="J116" s="86" t="s">
        <v>240</v>
      </c>
    </row>
    <row r="117" spans="10:10">
      <c r="J117" s="86" t="s">
        <v>241</v>
      </c>
    </row>
    <row r="118" spans="10:10">
      <c r="J118" s="86" t="s">
        <v>242</v>
      </c>
    </row>
    <row r="119" spans="10:10">
      <c r="J119" s="86" t="s">
        <v>243</v>
      </c>
    </row>
    <row r="120" spans="10:10">
      <c r="J120" s="86" t="s">
        <v>244</v>
      </c>
    </row>
    <row r="121" spans="10:10">
      <c r="J121" s="86" t="s">
        <v>245</v>
      </c>
    </row>
    <row r="122" spans="10:10">
      <c r="J122" s="86" t="s">
        <v>246</v>
      </c>
    </row>
    <row r="123" spans="10:10">
      <c r="J123" s="86" t="s">
        <v>247</v>
      </c>
    </row>
    <row r="124" spans="10:10">
      <c r="J124" s="86" t="s">
        <v>248</v>
      </c>
    </row>
    <row r="125" spans="10:10">
      <c r="J125" s="86" t="s">
        <v>249</v>
      </c>
    </row>
    <row r="126" spans="10:10">
      <c r="J126" s="86" t="s">
        <v>250</v>
      </c>
    </row>
    <row r="127" spans="10:10">
      <c r="J127" s="86" t="s">
        <v>251</v>
      </c>
    </row>
    <row r="128" spans="10:10">
      <c r="J128" s="86" t="s">
        <v>252</v>
      </c>
    </row>
    <row r="129" spans="10:10">
      <c r="J129" s="86" t="s">
        <v>253</v>
      </c>
    </row>
    <row r="130" spans="10:10">
      <c r="J130" s="86" t="s">
        <v>254</v>
      </c>
    </row>
    <row r="131" spans="10:10">
      <c r="J131" s="86" t="s">
        <v>255</v>
      </c>
    </row>
    <row r="132" spans="10:10">
      <c r="J132" s="86" t="s">
        <v>256</v>
      </c>
    </row>
    <row r="133" spans="10:10">
      <c r="J133" s="86" t="s">
        <v>257</v>
      </c>
    </row>
    <row r="134" spans="10:10">
      <c r="J134" s="86" t="s">
        <v>258</v>
      </c>
    </row>
    <row r="135" spans="10:10">
      <c r="J135" s="86" t="s">
        <v>259</v>
      </c>
    </row>
    <row r="136" spans="10:10">
      <c r="J136" s="86" t="s">
        <v>260</v>
      </c>
    </row>
    <row r="137" spans="10:10">
      <c r="J137" s="86" t="s">
        <v>261</v>
      </c>
    </row>
    <row r="138" spans="10:10">
      <c r="J138" s="86" t="s">
        <v>262</v>
      </c>
    </row>
    <row r="139" spans="10:10">
      <c r="J139" s="86" t="s">
        <v>263</v>
      </c>
    </row>
    <row r="140" spans="10:10">
      <c r="J140" s="86" t="s">
        <v>264</v>
      </c>
    </row>
    <row r="141" spans="10:10">
      <c r="J141" s="86" t="s">
        <v>265</v>
      </c>
    </row>
    <row r="142" spans="10:10">
      <c r="J142" s="86" t="s">
        <v>266</v>
      </c>
    </row>
    <row r="143" spans="10:10">
      <c r="J143" s="86" t="s">
        <v>267</v>
      </c>
    </row>
    <row r="144" spans="10:10">
      <c r="J144" s="379"/>
    </row>
  </sheetData>
  <mergeCells count="2">
    <mergeCell ref="B3:H3"/>
    <mergeCell ref="B6:H6"/>
  </mergeCells>
  <phoneticPr fontId="31" type="noConversion"/>
  <dataValidations count="1">
    <dataValidation type="list" allowBlank="1" showInputMessage="1" showErrorMessage="1" sqref="M28">
      <formula1>$J$10:$J$143</formula1>
    </dataValidation>
  </dataValidations>
  <pageMargins left="0.7" right="0.7" top="0.75" bottom="0.75" header="0.3" footer="0.3"/>
  <pageSetup orientation="landscape" horizontalDpi="4294967293"/>
  <headerFooter>
    <oddFooter>&amp;L&amp;"Calibri,Italic"&amp;8&amp;F: &amp;A</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sheetPr>
  <dimension ref="A1:V51"/>
  <sheetViews>
    <sheetView showGridLines="0" workbookViewId="0">
      <pane ySplit="2" topLeftCell="A33" activePane="bottomLeft" state="frozen"/>
      <selection activeCell="E22" sqref="E22"/>
      <selection pane="bottomLeft" activeCell="J36" sqref="J36:L36"/>
    </sheetView>
  </sheetViews>
  <sheetFormatPr defaultColWidth="11" defaultRowHeight="15"/>
  <cols>
    <col min="1" max="1" width="1.28515625" customWidth="1"/>
    <col min="2" max="2" width="7.140625" customWidth="1"/>
    <col min="3" max="3" width="8.85546875" customWidth="1"/>
    <col min="4" max="4" width="7" customWidth="1"/>
    <col min="5" max="5" width="16.42578125" customWidth="1"/>
    <col min="6" max="6" width="10.85546875" customWidth="1"/>
    <col min="7" max="7" width="15.42578125" customWidth="1"/>
    <col min="8" max="8" width="11.85546875" customWidth="1"/>
    <col min="9" max="9" width="11.140625" customWidth="1"/>
    <col min="10" max="10" width="14.140625" customWidth="1"/>
    <col min="11" max="11" width="7.7109375" customWidth="1"/>
    <col min="12" max="12" width="8.85546875" customWidth="1"/>
    <col min="13" max="13" width="16.85546875" customWidth="1"/>
    <col min="14" max="14" width="2.42578125" style="36" customWidth="1"/>
    <col min="15" max="15" width="13.28515625" style="36" customWidth="1"/>
    <col min="16" max="16" width="2.42578125" customWidth="1"/>
    <col min="17" max="17" width="8.7109375" customWidth="1"/>
    <col min="18" max="18" width="13.7109375" customWidth="1"/>
    <col min="19" max="19" width="11.42578125" customWidth="1"/>
    <col min="20" max="20" width="14.85546875" customWidth="1"/>
    <col min="21" max="21" width="16" customWidth="1"/>
    <col min="22" max="22" width="11.42578125" hidden="1" customWidth="1"/>
    <col min="23" max="23" width="15.42578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42578125" customWidth="1"/>
    <col min="32" max="32" width="16.85546875" customWidth="1"/>
    <col min="33" max="33" width="11.42578125" customWidth="1"/>
    <col min="34" max="34" width="2" customWidth="1"/>
    <col min="35" max="35" width="3.28515625" customWidth="1"/>
    <col min="36" max="36" width="2.28515625" customWidth="1"/>
    <col min="37" max="37" width="40.7109375" customWidth="1"/>
    <col min="38" max="38" width="15.42578125" customWidth="1"/>
  </cols>
  <sheetData>
    <row r="1" spans="1:15" ht="27" customHeight="1">
      <c r="A1" s="3"/>
      <c r="B1" s="3"/>
      <c r="C1" s="3"/>
      <c r="D1" s="3"/>
      <c r="E1" s="3"/>
      <c r="F1" s="3"/>
      <c r="G1" s="3"/>
      <c r="H1" s="3"/>
      <c r="I1" s="3"/>
      <c r="J1" s="3"/>
      <c r="K1" s="3"/>
      <c r="L1" s="3"/>
      <c r="M1" s="3"/>
    </row>
    <row r="2" spans="1:15" ht="23.25" customHeight="1">
      <c r="A2" s="3"/>
      <c r="B2" s="658" t="str">
        <f>'Grant Detail'!B3:J3</f>
        <v>Dashboard:  Ghana - MALARIA  (AngloGold Asanti (Ghana) Malaria Ltd)</v>
      </c>
      <c r="C2" s="658"/>
      <c r="D2" s="658"/>
      <c r="E2" s="658"/>
      <c r="F2" s="658"/>
      <c r="G2" s="658"/>
      <c r="H2" s="658"/>
      <c r="I2" s="658"/>
      <c r="J2" s="658"/>
      <c r="K2" s="658"/>
      <c r="L2" s="658"/>
      <c r="M2" s="658"/>
    </row>
    <row r="3" spans="1:15" ht="15.75" customHeight="1">
      <c r="A3" s="3"/>
      <c r="B3" s="221"/>
      <c r="C3" s="221"/>
      <c r="D3" s="221"/>
      <c r="E3" s="221"/>
      <c r="F3" s="221"/>
      <c r="G3" s="221"/>
      <c r="H3" s="221"/>
      <c r="I3" s="221"/>
      <c r="J3" s="221"/>
      <c r="K3" s="222"/>
      <c r="L3" s="222"/>
      <c r="M3" s="3"/>
    </row>
    <row r="4" spans="1:15" ht="21">
      <c r="G4" s="438" t="s">
        <v>95</v>
      </c>
    </row>
    <row r="5" spans="1:15">
      <c r="B5" s="571" t="s">
        <v>288</v>
      </c>
      <c r="C5" s="571"/>
      <c r="D5" s="571"/>
      <c r="E5" s="571"/>
      <c r="F5" s="571"/>
      <c r="G5" s="571"/>
      <c r="H5" s="571"/>
      <c r="I5" s="571"/>
      <c r="J5" s="571"/>
      <c r="K5" s="571"/>
      <c r="L5" s="571"/>
      <c r="M5" s="571"/>
      <c r="N5" s="571"/>
      <c r="O5" s="571"/>
    </row>
    <row r="7" spans="1:15">
      <c r="B7" s="659" t="s">
        <v>278</v>
      </c>
      <c r="C7" s="660"/>
      <c r="D7" s="661"/>
      <c r="E7" s="659" t="s">
        <v>279</v>
      </c>
      <c r="F7" s="660"/>
      <c r="G7" s="660"/>
      <c r="H7" s="660"/>
      <c r="I7" s="661"/>
      <c r="J7" s="659" t="s">
        <v>280</v>
      </c>
      <c r="K7" s="660"/>
      <c r="L7" s="661"/>
      <c r="M7" s="659" t="s">
        <v>336</v>
      </c>
      <c r="N7" s="660"/>
      <c r="O7" s="661"/>
    </row>
    <row r="8" spans="1:15" ht="92.25" customHeight="1">
      <c r="B8" s="637" t="str">
        <f>+'Data Entry'!B27</f>
        <v>F1: Budget and disbursements by Global Fund</v>
      </c>
      <c r="C8" s="638"/>
      <c r="D8" s="639"/>
      <c r="E8" s="662" t="s">
        <v>385</v>
      </c>
      <c r="F8" s="663"/>
      <c r="G8" s="663"/>
      <c r="H8" s="663"/>
      <c r="I8" s="664"/>
      <c r="J8" s="612" t="s">
        <v>337</v>
      </c>
      <c r="K8" s="613"/>
      <c r="L8" s="614"/>
      <c r="M8" s="612" t="s">
        <v>374</v>
      </c>
      <c r="N8" s="613"/>
      <c r="O8" s="614"/>
    </row>
    <row r="9" spans="1:15" ht="117.75" customHeight="1">
      <c r="B9" s="637" t="str">
        <f>+'Data Entry'!B36</f>
        <v>F2: Budget and actual expenditures by category</v>
      </c>
      <c r="C9" s="638"/>
      <c r="D9" s="639"/>
      <c r="E9" s="603" t="s">
        <v>3</v>
      </c>
      <c r="F9" s="604"/>
      <c r="G9" s="604"/>
      <c r="H9" s="604"/>
      <c r="I9" s="605"/>
      <c r="J9" s="612" t="s">
        <v>339</v>
      </c>
      <c r="K9" s="613"/>
      <c r="L9" s="614"/>
      <c r="M9" s="612" t="s">
        <v>374</v>
      </c>
      <c r="N9" s="613"/>
      <c r="O9" s="614"/>
    </row>
    <row r="10" spans="1:15" ht="253.5" customHeight="1">
      <c r="B10" s="646" t="str">
        <f>+'Data Entry'!B53</f>
        <v>F3: Disbursements and expenditures</v>
      </c>
      <c r="C10" s="665"/>
      <c r="D10" s="666"/>
      <c r="E10" s="606" t="s">
        <v>2</v>
      </c>
      <c r="F10" s="607"/>
      <c r="G10" s="607"/>
      <c r="H10" s="607"/>
      <c r="I10" s="608"/>
      <c r="J10" s="609" t="s">
        <v>386</v>
      </c>
      <c r="K10" s="610"/>
      <c r="L10" s="611"/>
      <c r="M10" s="609" t="s">
        <v>338</v>
      </c>
      <c r="N10" s="610"/>
      <c r="O10" s="611"/>
    </row>
    <row r="11" spans="1:15" ht="68.25" customHeight="1">
      <c r="B11" s="435"/>
      <c r="C11" s="436"/>
      <c r="D11" s="437"/>
      <c r="E11" s="673" t="s">
        <v>1</v>
      </c>
      <c r="F11" s="674"/>
      <c r="G11" s="674"/>
      <c r="H11" s="674"/>
      <c r="I11" s="675"/>
      <c r="J11" s="414"/>
      <c r="K11" s="415"/>
      <c r="L11" s="416"/>
      <c r="M11" s="414"/>
      <c r="N11" s="415"/>
      <c r="O11" s="416"/>
    </row>
    <row r="12" spans="1:15" ht="236.25" customHeight="1">
      <c r="B12" s="646" t="str">
        <f>+'Data Entry'!B62</f>
        <v>F4: Latest PR reporting and disbursement cycle</v>
      </c>
      <c r="C12" s="607"/>
      <c r="D12" s="608"/>
      <c r="E12" s="606" t="s">
        <v>4</v>
      </c>
      <c r="F12" s="607"/>
      <c r="G12" s="607"/>
      <c r="H12" s="607"/>
      <c r="I12" s="608"/>
      <c r="J12" s="609" t="s">
        <v>387</v>
      </c>
      <c r="K12" s="610"/>
      <c r="L12" s="611"/>
      <c r="M12" s="609" t="s">
        <v>283</v>
      </c>
      <c r="N12" s="610"/>
      <c r="O12" s="611"/>
    </row>
    <row r="13" spans="1:15" s="19" customFormat="1" ht="114" customHeight="1">
      <c r="B13" s="667"/>
      <c r="C13" s="667"/>
      <c r="D13" s="667"/>
      <c r="E13" s="671" t="s">
        <v>0</v>
      </c>
      <c r="F13" s="672"/>
      <c r="G13" s="672"/>
      <c r="H13" s="672"/>
      <c r="I13" s="672"/>
      <c r="J13" s="670"/>
      <c r="K13" s="670"/>
      <c r="L13" s="670"/>
      <c r="M13" s="670"/>
      <c r="N13" s="670"/>
      <c r="O13" s="670"/>
    </row>
    <row r="14" spans="1:15" s="19" customFormat="1">
      <c r="B14" s="636"/>
      <c r="C14" s="636"/>
      <c r="D14" s="636"/>
      <c r="E14" s="669"/>
      <c r="F14" s="669"/>
      <c r="G14" s="669"/>
      <c r="H14" s="669"/>
      <c r="I14" s="669"/>
      <c r="J14" s="669"/>
      <c r="K14" s="669"/>
      <c r="L14" s="669"/>
      <c r="M14" s="669"/>
      <c r="N14" s="669"/>
      <c r="O14" s="669"/>
    </row>
    <row r="15" spans="1:15" s="19" customFormat="1">
      <c r="B15" s="636"/>
      <c r="C15" s="636"/>
      <c r="D15" s="636"/>
      <c r="E15" s="668"/>
      <c r="F15" s="668"/>
      <c r="G15" s="668"/>
      <c r="H15" s="668"/>
      <c r="I15" s="668"/>
      <c r="J15" s="669"/>
      <c r="K15" s="669"/>
      <c r="L15" s="669"/>
      <c r="M15" s="669"/>
      <c r="N15" s="669"/>
      <c r="O15" s="669"/>
    </row>
    <row r="16" spans="1:15" s="19" customFormat="1">
      <c r="B16" s="636"/>
      <c r="C16" s="636"/>
      <c r="D16" s="636"/>
      <c r="E16" s="668"/>
      <c r="F16" s="668"/>
      <c r="G16" s="668"/>
      <c r="H16" s="668"/>
      <c r="I16" s="668"/>
      <c r="J16" s="669"/>
      <c r="K16" s="669"/>
      <c r="L16" s="669"/>
      <c r="M16" s="669"/>
      <c r="N16" s="669"/>
      <c r="O16" s="669"/>
    </row>
    <row r="17" spans="2:15">
      <c r="B17" s="571" t="s">
        <v>289</v>
      </c>
      <c r="C17" s="571"/>
      <c r="D17" s="571"/>
      <c r="E17" s="571"/>
      <c r="F17" s="571"/>
      <c r="G17" s="571"/>
      <c r="H17" s="571"/>
      <c r="I17" s="571"/>
      <c r="J17" s="571"/>
      <c r="K17" s="571"/>
      <c r="L17" s="571"/>
      <c r="M17" s="571"/>
      <c r="N17" s="571"/>
      <c r="O17" s="571"/>
    </row>
    <row r="18" spans="2:15">
      <c r="B18" s="412"/>
      <c r="C18" s="412"/>
      <c r="D18" s="412"/>
      <c r="E18" s="412"/>
      <c r="F18" s="412"/>
      <c r="G18" s="412"/>
      <c r="H18" s="412"/>
      <c r="I18" s="412"/>
      <c r="J18" s="412"/>
      <c r="K18" s="412"/>
      <c r="L18" s="412"/>
      <c r="M18" s="412"/>
      <c r="N18" s="413"/>
      <c r="O18" s="413"/>
    </row>
    <row r="19" spans="2:15">
      <c r="B19" s="621" t="s">
        <v>5</v>
      </c>
      <c r="C19" s="622"/>
      <c r="D19" s="623"/>
      <c r="E19" s="621" t="s">
        <v>279</v>
      </c>
      <c r="F19" s="622"/>
      <c r="G19" s="622"/>
      <c r="H19" s="622"/>
      <c r="I19" s="623"/>
      <c r="J19" s="621" t="s">
        <v>280</v>
      </c>
      <c r="K19" s="622"/>
      <c r="L19" s="623"/>
      <c r="M19" s="621" t="s">
        <v>281</v>
      </c>
      <c r="N19" s="622"/>
      <c r="O19" s="623"/>
    </row>
    <row r="20" spans="2:15" ht="114" customHeight="1">
      <c r="B20" s="637" t="str">
        <f>+'Data Entry'!B73</f>
        <v>M1: Status of Conditions Precedent (CPs) and Time Bound Actions (TBAs)</v>
      </c>
      <c r="C20" s="604"/>
      <c r="D20" s="605"/>
      <c r="E20" s="603" t="s">
        <v>388</v>
      </c>
      <c r="F20" s="604"/>
      <c r="G20" s="604"/>
      <c r="H20" s="604"/>
      <c r="I20" s="605"/>
      <c r="J20" s="612" t="s">
        <v>340</v>
      </c>
      <c r="K20" s="613"/>
      <c r="L20" s="614"/>
      <c r="M20" s="612" t="s">
        <v>341</v>
      </c>
      <c r="N20" s="613"/>
      <c r="O20" s="614"/>
    </row>
    <row r="21" spans="2:15" ht="102.75" customHeight="1">
      <c r="B21" s="637" t="str">
        <f>+'Data Entry'!B80</f>
        <v>M2: Status of key PR management positions</v>
      </c>
      <c r="C21" s="604"/>
      <c r="D21" s="605"/>
      <c r="E21" s="603" t="s">
        <v>389</v>
      </c>
      <c r="F21" s="604"/>
      <c r="G21" s="604"/>
      <c r="H21" s="604"/>
      <c r="I21" s="605"/>
      <c r="J21" s="612" t="s">
        <v>285</v>
      </c>
      <c r="K21" s="613"/>
      <c r="L21" s="614"/>
      <c r="M21" s="612" t="s">
        <v>284</v>
      </c>
      <c r="N21" s="613"/>
      <c r="O21" s="614"/>
    </row>
    <row r="22" spans="2:15" ht="192.75" customHeight="1">
      <c r="B22" s="637" t="str">
        <f>+'Data Entry'!B85</f>
        <v xml:space="preserve">M3: Contractual arrangements (SRs) </v>
      </c>
      <c r="C22" s="604"/>
      <c r="D22" s="605"/>
      <c r="E22" s="612" t="s">
        <v>390</v>
      </c>
      <c r="F22" s="604"/>
      <c r="G22" s="604"/>
      <c r="H22" s="604"/>
      <c r="I22" s="605"/>
      <c r="J22" s="612" t="s">
        <v>342</v>
      </c>
      <c r="K22" s="613"/>
      <c r="L22" s="614"/>
      <c r="M22" s="612" t="s">
        <v>343</v>
      </c>
      <c r="N22" s="613"/>
      <c r="O22" s="614"/>
    </row>
    <row r="23" spans="2:15" ht="78" customHeight="1">
      <c r="B23" s="637" t="str">
        <f>+'Data Entry'!B90</f>
        <v>M4: Number of complete reports received on time, this reporting period</v>
      </c>
      <c r="C23" s="604"/>
      <c r="D23" s="605"/>
      <c r="E23" s="612" t="s">
        <v>383</v>
      </c>
      <c r="F23" s="613"/>
      <c r="G23" s="613"/>
      <c r="H23" s="613"/>
      <c r="I23" s="614"/>
      <c r="J23" s="612" t="s">
        <v>391</v>
      </c>
      <c r="K23" s="613"/>
      <c r="L23" s="614"/>
      <c r="M23" s="612" t="s">
        <v>286</v>
      </c>
      <c r="N23" s="613"/>
      <c r="O23" s="614"/>
    </row>
    <row r="24" spans="2:15" ht="214.5" customHeight="1">
      <c r="B24" s="646" t="str">
        <f>+'Data Entry'!B96</f>
        <v>M5: Budget and Procurement of health products, health equipment, medicines and pharmaceuticals</v>
      </c>
      <c r="C24" s="607"/>
      <c r="D24" s="608"/>
      <c r="E24" s="647" t="s">
        <v>392</v>
      </c>
      <c r="F24" s="648"/>
      <c r="G24" s="648"/>
      <c r="H24" s="648"/>
      <c r="I24" s="649"/>
      <c r="J24" s="609" t="s">
        <v>282</v>
      </c>
      <c r="K24" s="610"/>
      <c r="L24" s="611"/>
      <c r="M24" s="609" t="s">
        <v>287</v>
      </c>
      <c r="N24" s="610"/>
      <c r="O24" s="611"/>
    </row>
    <row r="25" spans="2:15" ht="91.5" customHeight="1">
      <c r="B25" s="624"/>
      <c r="C25" s="625"/>
      <c r="D25" s="626"/>
      <c r="E25" s="624" t="s">
        <v>393</v>
      </c>
      <c r="F25" s="625"/>
      <c r="G25" s="625"/>
      <c r="H25" s="625"/>
      <c r="I25" s="626"/>
      <c r="J25" s="615"/>
      <c r="K25" s="616"/>
      <c r="L25" s="617"/>
      <c r="M25" s="615"/>
      <c r="N25" s="616"/>
      <c r="O25" s="617"/>
    </row>
    <row r="26" spans="2:15" ht="409.5" customHeight="1">
      <c r="B26" s="637" t="str">
        <f>+'Data Entry'!B109</f>
        <v>M6: Difference between current and safety stock</v>
      </c>
      <c r="C26" s="604"/>
      <c r="D26" s="605"/>
      <c r="E26" s="650" t="s">
        <v>394</v>
      </c>
      <c r="F26" s="651"/>
      <c r="G26" s="651"/>
      <c r="H26" s="651"/>
      <c r="I26" s="652"/>
      <c r="J26" s="618" t="s">
        <v>344</v>
      </c>
      <c r="K26" s="619"/>
      <c r="L26" s="620"/>
      <c r="M26" s="618" t="s">
        <v>349</v>
      </c>
      <c r="N26" s="656"/>
      <c r="O26" s="657"/>
    </row>
    <row r="27" spans="2:15">
      <c r="B27" s="417"/>
      <c r="C27" s="417"/>
      <c r="D27" s="417"/>
      <c r="E27" s="417"/>
      <c r="F27" s="417"/>
      <c r="G27" s="417"/>
      <c r="H27" s="417"/>
      <c r="I27" s="417"/>
      <c r="J27" s="417"/>
      <c r="K27" s="417"/>
      <c r="L27" s="417"/>
      <c r="M27" s="417"/>
      <c r="N27" s="418"/>
      <c r="O27" s="418"/>
    </row>
    <row r="28" spans="2:15">
      <c r="B28" s="417"/>
      <c r="C28" s="417"/>
      <c r="D28" s="417"/>
      <c r="E28" s="417"/>
      <c r="F28" s="417"/>
      <c r="G28" s="417"/>
      <c r="H28" s="417"/>
      <c r="I28" s="417"/>
      <c r="J28" s="417"/>
      <c r="K28" s="417"/>
      <c r="L28" s="417"/>
      <c r="M28" s="417"/>
      <c r="N28" s="418"/>
      <c r="O28" s="418"/>
    </row>
    <row r="29" spans="2:15">
      <c r="B29" s="417"/>
      <c r="C29" s="417"/>
      <c r="D29" s="417"/>
      <c r="E29" s="417"/>
      <c r="F29" s="417"/>
      <c r="G29" s="417"/>
      <c r="H29" s="417"/>
      <c r="I29" s="417"/>
      <c r="J29" s="417"/>
      <c r="K29" s="417"/>
      <c r="L29" s="417"/>
      <c r="M29" s="417"/>
      <c r="N29" s="418"/>
      <c r="O29" s="418"/>
    </row>
    <row r="30" spans="2:15">
      <c r="B30" s="419"/>
      <c r="C30" s="417"/>
      <c r="D30" s="417"/>
      <c r="E30" s="417"/>
      <c r="F30" s="417"/>
      <c r="G30" s="417"/>
      <c r="H30" s="417"/>
      <c r="I30" s="417"/>
      <c r="J30" s="417"/>
      <c r="K30" s="417"/>
      <c r="L30" s="417"/>
      <c r="M30" s="417"/>
      <c r="N30" s="418"/>
      <c r="O30" s="418"/>
    </row>
    <row r="31" spans="2:15">
      <c r="B31" s="571" t="s">
        <v>300</v>
      </c>
      <c r="C31" s="571"/>
      <c r="D31" s="571"/>
      <c r="E31" s="571"/>
      <c r="F31" s="571"/>
      <c r="G31" s="571"/>
      <c r="H31" s="571"/>
      <c r="I31" s="571"/>
      <c r="J31" s="571"/>
      <c r="K31" s="571"/>
      <c r="L31" s="571"/>
      <c r="M31" s="571"/>
      <c r="N31" s="571"/>
      <c r="O31" s="571"/>
    </row>
    <row r="32" spans="2:15">
      <c r="B32" s="417"/>
      <c r="C32" s="417"/>
      <c r="D32" s="417"/>
      <c r="E32" s="417"/>
      <c r="F32" s="417"/>
      <c r="G32" s="417"/>
      <c r="H32" s="417"/>
      <c r="I32" s="417"/>
      <c r="J32" s="417"/>
      <c r="K32" s="417"/>
      <c r="L32" s="417"/>
      <c r="M32" s="417"/>
      <c r="N32" s="418"/>
      <c r="O32" s="418"/>
    </row>
    <row r="33" spans="1:15" ht="28.5" customHeight="1">
      <c r="A33" s="242"/>
      <c r="B33" s="572" t="s">
        <v>334</v>
      </c>
      <c r="C33" s="573"/>
      <c r="D33" s="574"/>
      <c r="E33" s="575" t="s">
        <v>452</v>
      </c>
      <c r="F33" s="573"/>
      <c r="G33" s="573"/>
      <c r="H33" s="573"/>
      <c r="I33" s="574"/>
      <c r="J33" s="576" t="s">
        <v>280</v>
      </c>
      <c r="K33" s="573"/>
      <c r="L33" s="574"/>
      <c r="M33" s="576" t="s">
        <v>281</v>
      </c>
      <c r="N33" s="573"/>
      <c r="O33" s="574"/>
    </row>
    <row r="34" spans="1:15" ht="117" customHeight="1">
      <c r="A34" s="243"/>
      <c r="B34" s="653" t="s">
        <v>497</v>
      </c>
      <c r="C34" s="654"/>
      <c r="D34" s="655"/>
      <c r="E34" s="630" t="s">
        <v>498</v>
      </c>
      <c r="F34" s="631"/>
      <c r="G34" s="631"/>
      <c r="H34" s="631"/>
      <c r="I34" s="632"/>
      <c r="J34" s="630" t="s">
        <v>499</v>
      </c>
      <c r="K34" s="631"/>
      <c r="L34" s="632"/>
      <c r="M34" s="640" t="s">
        <v>495</v>
      </c>
      <c r="N34" s="641"/>
      <c r="O34" s="642"/>
    </row>
    <row r="35" spans="1:15" ht="81.75" customHeight="1">
      <c r="A35" s="243"/>
      <c r="B35" s="600" t="s">
        <v>496</v>
      </c>
      <c r="C35" s="601"/>
      <c r="D35" s="602"/>
      <c r="E35" s="627" t="s">
        <v>451</v>
      </c>
      <c r="F35" s="628"/>
      <c r="G35" s="628"/>
      <c r="H35" s="628"/>
      <c r="I35" s="629"/>
      <c r="J35" s="643" t="s">
        <v>501</v>
      </c>
      <c r="K35" s="644"/>
      <c r="L35" s="645"/>
      <c r="M35" s="643" t="s">
        <v>450</v>
      </c>
      <c r="N35" s="644"/>
      <c r="O35" s="645"/>
    </row>
    <row r="36" spans="1:15" ht="66" customHeight="1">
      <c r="A36" s="243"/>
      <c r="B36" s="597"/>
      <c r="C36" s="598"/>
      <c r="D36" s="599"/>
      <c r="E36" s="589"/>
      <c r="F36" s="590"/>
      <c r="G36" s="590"/>
      <c r="H36" s="590"/>
      <c r="I36" s="591"/>
      <c r="J36" s="589"/>
      <c r="K36" s="590"/>
      <c r="L36" s="591"/>
      <c r="M36" s="589"/>
      <c r="N36" s="590"/>
      <c r="O36" s="591"/>
    </row>
    <row r="37" spans="1:15" ht="9.75" customHeight="1">
      <c r="A37" s="243"/>
      <c r="B37" s="592"/>
      <c r="C37" s="593"/>
      <c r="D37" s="594"/>
      <c r="E37" s="423"/>
      <c r="F37" s="424"/>
      <c r="G37" s="424"/>
      <c r="H37" s="424"/>
      <c r="I37" s="425"/>
      <c r="J37" s="426"/>
      <c r="K37" s="427"/>
      <c r="L37" s="428"/>
      <c r="M37" s="426"/>
      <c r="N37" s="427"/>
      <c r="O37" s="428"/>
    </row>
    <row r="38" spans="1:15" ht="69" customHeight="1">
      <c r="A38" s="243"/>
      <c r="B38" s="597"/>
      <c r="C38" s="598"/>
      <c r="D38" s="599"/>
      <c r="E38" s="589"/>
      <c r="F38" s="595"/>
      <c r="G38" s="595"/>
      <c r="H38" s="595"/>
      <c r="I38" s="596"/>
      <c r="J38" s="589"/>
      <c r="K38" s="590"/>
      <c r="L38" s="591"/>
      <c r="M38" s="589"/>
      <c r="N38" s="590"/>
      <c r="O38" s="591"/>
    </row>
    <row r="39" spans="1:15" ht="102" customHeight="1">
      <c r="A39" s="243"/>
      <c r="B39" s="597"/>
      <c r="C39" s="598"/>
      <c r="D39" s="599"/>
      <c r="E39" s="586"/>
      <c r="F39" s="587"/>
      <c r="G39" s="587"/>
      <c r="H39" s="587"/>
      <c r="I39" s="588"/>
      <c r="J39" s="589"/>
      <c r="K39" s="590"/>
      <c r="L39" s="591"/>
      <c r="M39" s="589"/>
      <c r="N39" s="590"/>
      <c r="O39" s="591"/>
    </row>
    <row r="40" spans="1:15" ht="64.5" customHeight="1">
      <c r="A40" s="243"/>
      <c r="B40" s="597"/>
      <c r="C40" s="598"/>
      <c r="D40" s="599"/>
      <c r="E40" s="589"/>
      <c r="F40" s="590"/>
      <c r="G40" s="590"/>
      <c r="H40" s="590"/>
      <c r="I40" s="591"/>
      <c r="J40" s="589"/>
      <c r="K40" s="590"/>
      <c r="L40" s="591"/>
      <c r="M40" s="589"/>
      <c r="N40" s="590"/>
      <c r="O40" s="591"/>
    </row>
    <row r="41" spans="1:15" ht="45" customHeight="1">
      <c r="A41" s="243"/>
      <c r="B41" s="583"/>
      <c r="C41" s="584"/>
      <c r="D41" s="585"/>
      <c r="E41" s="633"/>
      <c r="F41" s="634"/>
      <c r="G41" s="634"/>
      <c r="H41" s="634"/>
      <c r="I41" s="635"/>
      <c r="J41" s="589"/>
      <c r="K41" s="590"/>
      <c r="L41" s="591"/>
      <c r="M41" s="589"/>
      <c r="N41" s="590"/>
      <c r="O41" s="591"/>
    </row>
    <row r="42" spans="1:15" ht="62.25" customHeight="1">
      <c r="A42" s="243"/>
      <c r="B42" s="583"/>
      <c r="C42" s="584"/>
      <c r="D42" s="585"/>
      <c r="E42" s="586"/>
      <c r="F42" s="587"/>
      <c r="G42" s="587"/>
      <c r="H42" s="587"/>
      <c r="I42" s="588"/>
      <c r="J42" s="589"/>
      <c r="K42" s="590"/>
      <c r="L42" s="591"/>
      <c r="M42" s="589"/>
      <c r="N42" s="590"/>
      <c r="O42" s="591"/>
    </row>
    <row r="43" spans="1:15" ht="84" customHeight="1">
      <c r="A43" s="243"/>
      <c r="B43" s="583"/>
      <c r="C43" s="584"/>
      <c r="D43" s="585"/>
      <c r="E43" s="589"/>
      <c r="F43" s="590"/>
      <c r="G43" s="590"/>
      <c r="H43" s="590"/>
      <c r="I43" s="591"/>
      <c r="J43" s="420"/>
      <c r="K43" s="421"/>
      <c r="L43" s="422"/>
      <c r="M43" s="420"/>
      <c r="N43" s="421"/>
      <c r="O43" s="422"/>
    </row>
    <row r="44" spans="1:15" ht="45" customHeight="1">
      <c r="A44" s="243"/>
      <c r="B44" s="583"/>
      <c r="C44" s="584"/>
      <c r="D44" s="585"/>
      <c r="E44" s="586"/>
      <c r="F44" s="587"/>
      <c r="G44" s="587"/>
      <c r="H44" s="587"/>
      <c r="I44" s="588"/>
      <c r="J44" s="589"/>
      <c r="K44" s="590"/>
      <c r="L44" s="591"/>
      <c r="M44" s="420"/>
      <c r="N44" s="421"/>
      <c r="O44" s="422"/>
    </row>
    <row r="45" spans="1:15" ht="19.5" customHeight="1">
      <c r="B45" s="580" t="s">
        <v>301</v>
      </c>
      <c r="C45" s="581"/>
      <c r="D45" s="582"/>
      <c r="E45" s="580" t="s">
        <v>279</v>
      </c>
      <c r="F45" s="581"/>
      <c r="G45" s="581"/>
      <c r="H45" s="581"/>
      <c r="I45" s="582"/>
      <c r="J45" s="580" t="s">
        <v>280</v>
      </c>
      <c r="K45" s="581"/>
      <c r="L45" s="582"/>
      <c r="M45" s="580" t="s">
        <v>281</v>
      </c>
      <c r="N45" s="581"/>
      <c r="O45" s="582"/>
    </row>
    <row r="46" spans="1:15" ht="33.75" customHeight="1">
      <c r="B46" s="429"/>
      <c r="C46" s="430"/>
      <c r="D46" s="430"/>
      <c r="E46" s="431"/>
      <c r="F46" s="432"/>
      <c r="G46" s="432"/>
      <c r="H46" s="432"/>
      <c r="I46" s="432"/>
      <c r="J46" s="431"/>
      <c r="K46" s="431"/>
      <c r="L46" s="433"/>
      <c r="M46" s="434"/>
      <c r="N46" s="431"/>
      <c r="O46" s="433"/>
    </row>
    <row r="47" spans="1:15" ht="29.25" customHeight="1">
      <c r="B47" s="577" t="s">
        <v>412</v>
      </c>
      <c r="C47" s="578"/>
      <c r="D47" s="578"/>
      <c r="E47" s="578"/>
      <c r="F47" s="578"/>
      <c r="G47" s="578"/>
      <c r="H47" s="578"/>
      <c r="I47" s="578"/>
      <c r="J47" s="578"/>
      <c r="K47" s="578"/>
      <c r="L47" s="579"/>
      <c r="M47" s="568" t="s">
        <v>290</v>
      </c>
      <c r="N47" s="569"/>
      <c r="O47" s="570"/>
    </row>
    <row r="48" spans="1:15">
      <c r="D48" s="223"/>
    </row>
    <row r="50" spans="4:4">
      <c r="D50" s="223"/>
    </row>
    <row r="51" spans="4:4">
      <c r="D51" s="223"/>
    </row>
  </sheetData>
  <mergeCells count="118">
    <mergeCell ref="B10:D10"/>
    <mergeCell ref="E12:I12"/>
    <mergeCell ref="B13:D13"/>
    <mergeCell ref="E16:I16"/>
    <mergeCell ref="J12:L12"/>
    <mergeCell ref="E20:I20"/>
    <mergeCell ref="B14:D14"/>
    <mergeCell ref="B17:O17"/>
    <mergeCell ref="J16:L16"/>
    <mergeCell ref="E14:I14"/>
    <mergeCell ref="J14:L14"/>
    <mergeCell ref="B15:D15"/>
    <mergeCell ref="E15:I15"/>
    <mergeCell ref="M14:O14"/>
    <mergeCell ref="M15:O15"/>
    <mergeCell ref="M16:O16"/>
    <mergeCell ref="M20:O20"/>
    <mergeCell ref="J13:L13"/>
    <mergeCell ref="M13:O13"/>
    <mergeCell ref="E13:I13"/>
    <mergeCell ref="J15:L15"/>
    <mergeCell ref="M12:O12"/>
    <mergeCell ref="E11:I11"/>
    <mergeCell ref="B19:D19"/>
    <mergeCell ref="B2:M2"/>
    <mergeCell ref="B5:O5"/>
    <mergeCell ref="M8:O8"/>
    <mergeCell ref="J8:L8"/>
    <mergeCell ref="E7:I7"/>
    <mergeCell ref="B7:D7"/>
    <mergeCell ref="E8:I8"/>
    <mergeCell ref="J7:L7"/>
    <mergeCell ref="M7:O7"/>
    <mergeCell ref="B8:D8"/>
    <mergeCell ref="B16:D16"/>
    <mergeCell ref="J19:L19"/>
    <mergeCell ref="B9:D9"/>
    <mergeCell ref="B20:D20"/>
    <mergeCell ref="M36:O36"/>
    <mergeCell ref="M34:O34"/>
    <mergeCell ref="M35:O35"/>
    <mergeCell ref="B26:D26"/>
    <mergeCell ref="B23:D23"/>
    <mergeCell ref="B24:D25"/>
    <mergeCell ref="E24:I24"/>
    <mergeCell ref="E23:I23"/>
    <mergeCell ref="B21:D21"/>
    <mergeCell ref="E21:I21"/>
    <mergeCell ref="B22:D22"/>
    <mergeCell ref="E22:I22"/>
    <mergeCell ref="E26:I26"/>
    <mergeCell ref="J22:L22"/>
    <mergeCell ref="J21:L21"/>
    <mergeCell ref="J35:L35"/>
    <mergeCell ref="B34:D34"/>
    <mergeCell ref="E34:I34"/>
    <mergeCell ref="B12:D12"/>
    <mergeCell ref="M26:O26"/>
    <mergeCell ref="J26:L26"/>
    <mergeCell ref="J39:L39"/>
    <mergeCell ref="E19:I19"/>
    <mergeCell ref="M38:O38"/>
    <mergeCell ref="J38:L38"/>
    <mergeCell ref="M40:O40"/>
    <mergeCell ref="J41:L41"/>
    <mergeCell ref="M21:O21"/>
    <mergeCell ref="E25:I25"/>
    <mergeCell ref="M19:O19"/>
    <mergeCell ref="E35:I35"/>
    <mergeCell ref="J34:L34"/>
    <mergeCell ref="E40:I40"/>
    <mergeCell ref="E41:I41"/>
    <mergeCell ref="E9:I9"/>
    <mergeCell ref="E10:I10"/>
    <mergeCell ref="J10:L10"/>
    <mergeCell ref="M10:O10"/>
    <mergeCell ref="J20:L20"/>
    <mergeCell ref="M9:O9"/>
    <mergeCell ref="J9:L9"/>
    <mergeCell ref="M22:O22"/>
    <mergeCell ref="J24:L25"/>
    <mergeCell ref="J23:L23"/>
    <mergeCell ref="M23:O23"/>
    <mergeCell ref="M24:O25"/>
    <mergeCell ref="B38:D38"/>
    <mergeCell ref="B39:D39"/>
    <mergeCell ref="E39:I39"/>
    <mergeCell ref="M45:O45"/>
    <mergeCell ref="J42:L42"/>
    <mergeCell ref="M42:O42"/>
    <mergeCell ref="J45:L45"/>
    <mergeCell ref="J40:L40"/>
    <mergeCell ref="M41:O41"/>
    <mergeCell ref="M39:O39"/>
    <mergeCell ref="M47:O47"/>
    <mergeCell ref="B31:O31"/>
    <mergeCell ref="B33:D33"/>
    <mergeCell ref="E33:I33"/>
    <mergeCell ref="J33:L33"/>
    <mergeCell ref="M33:O33"/>
    <mergeCell ref="B47:L47"/>
    <mergeCell ref="B45:D45"/>
    <mergeCell ref="E45:I45"/>
    <mergeCell ref="B42:D42"/>
    <mergeCell ref="E42:I42"/>
    <mergeCell ref="J44:L44"/>
    <mergeCell ref="B44:D44"/>
    <mergeCell ref="E43:I43"/>
    <mergeCell ref="E44:I44"/>
    <mergeCell ref="B43:D43"/>
    <mergeCell ref="B41:D41"/>
    <mergeCell ref="B37:D37"/>
    <mergeCell ref="E38:I38"/>
    <mergeCell ref="E36:I36"/>
    <mergeCell ref="B36:D36"/>
    <mergeCell ref="J36:L36"/>
    <mergeCell ref="B35:D35"/>
    <mergeCell ref="B40:D40"/>
  </mergeCells>
  <phoneticPr fontId="31" type="noConversion"/>
  <pageMargins left="0.70866141732283472" right="0.62" top="0.74803149606299213" bottom="0.74803149606299213" header="0.31496062992125984" footer="0.31496062992125984"/>
  <pageSetup paperSize="9" orientation="landscape" r:id="rId1"/>
  <headerFooter alignWithMargins="0">
    <oddFooter>&amp;L&amp;F&amp;C&amp;A&amp;RV1.0          &amp;D</oddFooter>
  </headerFooter>
  <rowBreaks count="2" manualBreakCount="2">
    <brk id="16" max="16383" man="1"/>
    <brk id="29" max="16383"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C000"/>
  </sheetPr>
  <dimension ref="A1:AJ156"/>
  <sheetViews>
    <sheetView showGridLines="0" tabSelected="1" topLeftCell="A72" zoomScale="80" zoomScaleNormal="80" zoomScalePageLayoutView="80" workbookViewId="0">
      <selection activeCell="K50" sqref="K50"/>
    </sheetView>
  </sheetViews>
  <sheetFormatPr defaultColWidth="11" defaultRowHeight="15"/>
  <cols>
    <col min="1" max="1" width="2.7109375" customWidth="1"/>
    <col min="2" max="2" width="50" customWidth="1"/>
    <col min="3" max="3" width="23" customWidth="1"/>
    <col min="4" max="4" width="19.140625" customWidth="1"/>
    <col min="5" max="5" width="16.42578125" customWidth="1"/>
    <col min="6" max="6" width="17.42578125" customWidth="1"/>
    <col min="7" max="7" width="16.42578125" customWidth="1"/>
    <col min="8" max="8" width="17.42578125" customWidth="1"/>
    <col min="9" max="9" width="16.28515625" customWidth="1"/>
    <col min="10" max="10" width="16.85546875" customWidth="1"/>
    <col min="11" max="11" width="16" customWidth="1"/>
    <col min="12" max="12" width="15.28515625" customWidth="1"/>
    <col min="13" max="13" width="15.42578125" customWidth="1"/>
    <col min="14" max="14" width="14.28515625" style="36" customWidth="1"/>
    <col min="15" max="15" width="23.85546875" style="36" customWidth="1"/>
    <col min="16" max="16" width="19.42578125" customWidth="1"/>
    <col min="17" max="17" width="16.140625" customWidth="1"/>
    <col min="18" max="18" width="13.7109375" customWidth="1"/>
    <col min="19" max="19" width="13.42578125" customWidth="1"/>
    <col min="20" max="20" width="14.85546875" customWidth="1"/>
    <col min="21" max="21" width="16" customWidth="1"/>
    <col min="22" max="22" width="11.42578125" hidden="1" customWidth="1"/>
    <col min="23" max="23" width="15.42578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42578125" customWidth="1"/>
    <col min="32" max="32" width="16.85546875" customWidth="1"/>
    <col min="33" max="33" width="11.42578125" customWidth="1"/>
    <col min="34" max="34" width="2" style="36" customWidth="1"/>
    <col min="35" max="35" width="3.28515625" style="36" customWidth="1"/>
    <col min="36" max="36" width="2.28515625" style="36" customWidth="1"/>
    <col min="37" max="37" width="40.7109375" customWidth="1"/>
    <col min="38" max="38" width="15.42578125" customWidth="1"/>
  </cols>
  <sheetData>
    <row r="1" spans="1:13" ht="29.25" customHeight="1">
      <c r="A1" s="3"/>
      <c r="B1" s="3"/>
      <c r="C1" s="3"/>
      <c r="D1" s="3"/>
      <c r="E1" s="441" t="s">
        <v>395</v>
      </c>
      <c r="F1" s="464">
        <v>42412</v>
      </c>
      <c r="G1" s="3"/>
      <c r="H1" s="3"/>
      <c r="I1" s="3"/>
      <c r="J1" s="3"/>
      <c r="K1" s="3"/>
      <c r="L1" s="3"/>
      <c r="M1" s="3"/>
    </row>
    <row r="2" spans="1:13" ht="15.75" customHeight="1">
      <c r="A2" s="3"/>
      <c r="B2" s="701" t="s">
        <v>356</v>
      </c>
      <c r="C2" s="701"/>
      <c r="D2" s="701"/>
      <c r="E2" s="701"/>
      <c r="F2" s="701"/>
      <c r="G2" s="701"/>
      <c r="H2" s="701"/>
      <c r="I2" s="701"/>
      <c r="J2" s="701"/>
      <c r="K2" s="265"/>
      <c r="L2" s="265"/>
      <c r="M2" s="265"/>
    </row>
    <row r="3" spans="1:13" ht="4.5" customHeight="1">
      <c r="A3" s="3"/>
      <c r="B3" s="3"/>
      <c r="C3" s="3"/>
      <c r="D3" s="3"/>
      <c r="E3" s="3"/>
      <c r="F3" s="3"/>
      <c r="G3" s="3"/>
      <c r="H3" s="3"/>
      <c r="I3" s="3"/>
      <c r="J3" s="3"/>
      <c r="K3" s="3"/>
      <c r="L3" s="3"/>
      <c r="M3" s="3"/>
    </row>
    <row r="4" spans="1:13">
      <c r="A4" s="3"/>
      <c r="B4" s="263" t="s">
        <v>33</v>
      </c>
      <c r="C4" s="702" t="s">
        <v>183</v>
      </c>
      <c r="D4" s="703"/>
      <c r="E4" s="704" t="s">
        <v>19</v>
      </c>
      <c r="F4" s="704"/>
      <c r="G4" s="702" t="s">
        <v>419</v>
      </c>
      <c r="H4" s="705"/>
      <c r="I4" s="705"/>
      <c r="J4" s="703"/>
      <c r="K4" s="3"/>
      <c r="L4" s="3"/>
      <c r="M4" s="3"/>
    </row>
    <row r="5" spans="1:13" ht="21.75" customHeight="1">
      <c r="A5" s="3"/>
      <c r="B5" s="263"/>
      <c r="C5" s="3"/>
      <c r="D5" s="3"/>
      <c r="E5" s="266"/>
      <c r="F5" s="266"/>
      <c r="G5" s="3"/>
      <c r="H5" s="3"/>
      <c r="I5" s="3"/>
      <c r="J5" s="3"/>
      <c r="K5" s="3"/>
      <c r="L5" s="3"/>
      <c r="M5" s="3"/>
    </row>
    <row r="6" spans="1:13">
      <c r="A6" s="3"/>
      <c r="B6" s="263" t="s">
        <v>122</v>
      </c>
      <c r="C6" s="702" t="s">
        <v>475</v>
      </c>
      <c r="D6" s="703"/>
      <c r="E6" s="704" t="s">
        <v>34</v>
      </c>
      <c r="F6" s="704"/>
      <c r="G6" s="448" t="s">
        <v>41</v>
      </c>
      <c r="H6" s="523" t="s">
        <v>476</v>
      </c>
      <c r="I6" s="708">
        <v>13325139.303646</v>
      </c>
      <c r="J6" s="709"/>
      <c r="K6" s="3"/>
      <c r="L6" s="3"/>
      <c r="M6" s="3"/>
    </row>
    <row r="7" spans="1:13" ht="3" customHeight="1">
      <c r="A7" s="3"/>
      <c r="B7" s="263"/>
      <c r="C7" s="3"/>
      <c r="D7" s="3"/>
      <c r="E7" s="266"/>
      <c r="F7" s="266"/>
      <c r="G7" s="449"/>
      <c r="H7" s="263"/>
      <c r="I7" s="3"/>
      <c r="J7" s="3"/>
      <c r="K7" s="3"/>
      <c r="L7" s="3"/>
      <c r="M7" s="3"/>
    </row>
    <row r="8" spans="1:13">
      <c r="A8" s="3"/>
      <c r="B8" s="263" t="s">
        <v>274</v>
      </c>
      <c r="C8" s="702" t="s">
        <v>472</v>
      </c>
      <c r="D8" s="703"/>
      <c r="E8" s="267"/>
      <c r="F8" s="262" t="s">
        <v>320</v>
      </c>
      <c r="G8" s="450" t="s">
        <v>478</v>
      </c>
      <c r="H8" s="262" t="s">
        <v>319</v>
      </c>
      <c r="I8" s="715" t="s">
        <v>477</v>
      </c>
      <c r="J8" s="717"/>
      <c r="K8" s="3"/>
      <c r="L8" s="3"/>
      <c r="M8" s="3"/>
    </row>
    <row r="9" spans="1:13" ht="3" customHeight="1">
      <c r="A9" s="3"/>
      <c r="B9" s="266"/>
      <c r="C9" s="3"/>
      <c r="D9" s="3"/>
      <c r="E9" s="266"/>
      <c r="F9" s="266"/>
      <c r="G9" s="3"/>
      <c r="H9" s="3"/>
      <c r="I9" s="3"/>
      <c r="J9" s="3"/>
      <c r="K9" s="3"/>
      <c r="L9" s="3"/>
      <c r="M9" s="3"/>
    </row>
    <row r="10" spans="1:13">
      <c r="A10" s="3"/>
      <c r="B10" s="263" t="s">
        <v>379</v>
      </c>
      <c r="C10" s="719">
        <v>42064</v>
      </c>
      <c r="D10" s="720"/>
      <c r="E10" s="718" t="s">
        <v>38</v>
      </c>
      <c r="F10" s="711"/>
      <c r="G10" s="715" t="s">
        <v>64</v>
      </c>
      <c r="H10" s="716"/>
      <c r="I10" s="716"/>
      <c r="J10" s="717"/>
      <c r="K10" s="3"/>
      <c r="L10" s="3"/>
      <c r="M10" s="3"/>
    </row>
    <row r="11" spans="1:13" ht="5.25" customHeight="1">
      <c r="A11" s="3"/>
      <c r="B11" s="3"/>
      <c r="C11" s="3"/>
      <c r="D11" s="3"/>
      <c r="E11" s="3"/>
      <c r="F11" s="3"/>
      <c r="G11" s="3"/>
      <c r="H11" s="3"/>
      <c r="I11" s="3"/>
      <c r="J11" s="3"/>
      <c r="K11" s="3"/>
      <c r="L11" s="3"/>
      <c r="M11" s="3"/>
    </row>
    <row r="12" spans="1:13" ht="15" customHeight="1">
      <c r="A12" s="3"/>
      <c r="B12" s="263" t="s">
        <v>36</v>
      </c>
      <c r="C12" s="724" t="s">
        <v>52</v>
      </c>
      <c r="D12" s="724"/>
      <c r="E12" s="718" t="s">
        <v>294</v>
      </c>
      <c r="F12" s="704"/>
      <c r="G12" s="721" t="s">
        <v>474</v>
      </c>
      <c r="H12" s="722"/>
      <c r="I12" s="722"/>
      <c r="J12" s="723"/>
      <c r="K12" s="3"/>
      <c r="L12" s="3"/>
      <c r="M12" s="3"/>
    </row>
    <row r="13" spans="1:13" ht="5.25" customHeight="1">
      <c r="A13" s="3"/>
      <c r="B13" s="3"/>
      <c r="C13" s="3"/>
      <c r="D13" s="3"/>
      <c r="E13" s="3"/>
      <c r="F13" s="3"/>
      <c r="G13" s="3"/>
      <c r="H13" s="3"/>
      <c r="I13" s="3"/>
      <c r="J13" s="3"/>
      <c r="K13" s="3"/>
      <c r="L13" s="3"/>
      <c r="M13" s="3"/>
    </row>
    <row r="14" spans="1:13" ht="15.75" customHeight="1">
      <c r="A14" s="3"/>
      <c r="B14" s="701" t="s">
        <v>7</v>
      </c>
      <c r="C14" s="701"/>
      <c r="D14" s="701"/>
      <c r="E14" s="701"/>
      <c r="F14" s="701"/>
      <c r="G14" s="701"/>
      <c r="H14" s="701"/>
      <c r="I14" s="701"/>
      <c r="J14" s="701"/>
      <c r="K14" s="3"/>
      <c r="L14" s="3"/>
      <c r="M14" s="3"/>
    </row>
    <row r="15" spans="1:13" ht="3" customHeight="1">
      <c r="A15" s="3"/>
      <c r="B15" s="3"/>
      <c r="C15" s="3"/>
      <c r="D15" s="3"/>
      <c r="E15" s="3"/>
      <c r="F15" s="3"/>
      <c r="G15" s="3"/>
      <c r="H15" s="3"/>
      <c r="I15" s="3"/>
      <c r="J15" s="3"/>
      <c r="K15" s="3"/>
      <c r="L15" s="3"/>
      <c r="M15" s="3"/>
    </row>
    <row r="16" spans="1:13">
      <c r="A16" s="3"/>
      <c r="B16" s="263" t="s">
        <v>28</v>
      </c>
      <c r="C16" s="366" t="s">
        <v>115</v>
      </c>
      <c r="D16" s="262" t="s">
        <v>321</v>
      </c>
      <c r="E16" s="451">
        <v>42278</v>
      </c>
      <c r="F16" s="264" t="s">
        <v>15</v>
      </c>
      <c r="G16" s="519">
        <v>42369</v>
      </c>
      <c r="H16" s="718" t="s">
        <v>322</v>
      </c>
      <c r="I16" s="711"/>
      <c r="J16" s="452">
        <f>F1</f>
        <v>42412</v>
      </c>
      <c r="K16" s="3"/>
      <c r="L16" s="3"/>
      <c r="M16" s="3"/>
    </row>
    <row r="17" spans="1:36" ht="3" customHeight="1">
      <c r="A17" s="3"/>
      <c r="B17" s="3"/>
      <c r="C17" s="3"/>
      <c r="D17" s="3"/>
      <c r="E17" s="3"/>
      <c r="F17" s="3"/>
      <c r="G17" s="3"/>
      <c r="H17" s="3"/>
      <c r="I17" s="3"/>
      <c r="J17" s="3"/>
      <c r="K17" s="3"/>
      <c r="L17" s="3"/>
      <c r="M17" s="3"/>
    </row>
    <row r="18" spans="1:36">
      <c r="A18" s="3"/>
      <c r="B18" s="710" t="s">
        <v>39</v>
      </c>
      <c r="C18" s="711"/>
      <c r="D18" s="715" t="s">
        <v>449</v>
      </c>
      <c r="E18" s="716"/>
      <c r="F18" s="717"/>
      <c r="G18" s="268"/>
      <c r="H18" s="268"/>
      <c r="I18" s="268"/>
      <c r="J18" s="268"/>
      <c r="K18" s="3"/>
      <c r="L18" s="3"/>
      <c r="M18" s="3"/>
    </row>
    <row r="19" spans="1:36" ht="3" customHeight="1">
      <c r="A19" s="3"/>
      <c r="B19" s="3"/>
      <c r="C19" s="3"/>
      <c r="D19" s="3"/>
      <c r="E19" s="3"/>
      <c r="F19" s="3"/>
      <c r="G19" s="3"/>
      <c r="H19" s="3"/>
      <c r="I19" s="3"/>
      <c r="J19" s="3"/>
      <c r="K19" s="3"/>
      <c r="L19" s="3"/>
      <c r="M19" s="3"/>
    </row>
    <row r="20" spans="1:36" ht="5.25" customHeight="1">
      <c r="A20" s="3"/>
      <c r="B20" s="3"/>
      <c r="C20" s="3"/>
      <c r="D20" s="3"/>
      <c r="E20" s="3"/>
      <c r="F20" s="3"/>
      <c r="G20" s="3"/>
      <c r="H20" s="3"/>
      <c r="I20" s="3"/>
      <c r="J20" s="3"/>
      <c r="K20" s="3"/>
      <c r="L20" s="3"/>
      <c r="M20" s="3"/>
    </row>
    <row r="21" spans="1:36" ht="15.75" customHeight="1">
      <c r="A21" s="3"/>
      <c r="B21" s="701" t="s">
        <v>345</v>
      </c>
      <c r="C21" s="701"/>
      <c r="D21" s="701"/>
      <c r="E21" s="701"/>
      <c r="F21" s="701"/>
      <c r="G21" s="701"/>
      <c r="H21" s="701"/>
      <c r="I21" s="701"/>
      <c r="J21" s="701"/>
      <c r="K21" s="3"/>
      <c r="L21" s="3"/>
      <c r="M21" s="3"/>
    </row>
    <row r="22" spans="1:36">
      <c r="A22" s="3"/>
      <c r="B22" s="266" t="s">
        <v>8</v>
      </c>
      <c r="C22" s="3"/>
      <c r="D22" s="3"/>
      <c r="E22" s="269"/>
      <c r="F22" s="269"/>
      <c r="G22" s="3"/>
      <c r="H22" s="3"/>
      <c r="I22" s="269"/>
      <c r="J22" s="269"/>
      <c r="K22" s="3"/>
      <c r="L22" s="3"/>
      <c r="M22" s="3"/>
    </row>
    <row r="23" spans="1:36" ht="3" customHeight="1">
      <c r="A23" s="3"/>
      <c r="B23" s="3"/>
      <c r="C23" s="3"/>
      <c r="D23" s="3"/>
      <c r="E23" s="3"/>
      <c r="F23" s="3"/>
      <c r="G23" s="3"/>
      <c r="H23" s="3"/>
      <c r="I23" s="3"/>
      <c r="J23" s="3"/>
      <c r="K23" s="3"/>
      <c r="L23" s="3"/>
      <c r="M23" s="3"/>
    </row>
    <row r="24" spans="1:36" ht="15.75" thickBot="1">
      <c r="A24" s="3"/>
      <c r="B24" s="263" t="s">
        <v>376</v>
      </c>
      <c r="C24" s="359"/>
      <c r="D24" s="704" t="s">
        <v>377</v>
      </c>
      <c r="E24" s="704"/>
      <c r="F24" s="360"/>
      <c r="G24" s="704" t="s">
        <v>378</v>
      </c>
      <c r="H24" s="704"/>
      <c r="I24" s="706"/>
      <c r="J24" s="707"/>
      <c r="K24" s="3"/>
      <c r="L24" s="3"/>
      <c r="M24" s="3"/>
      <c r="N24" s="20"/>
    </row>
    <row r="25" spans="1:36" ht="19.5" thickBot="1">
      <c r="A25" s="3"/>
      <c r="B25" s="87" t="s">
        <v>376</v>
      </c>
      <c r="C25" s="88"/>
      <c r="D25" s="88"/>
      <c r="E25" s="88"/>
      <c r="F25" s="88"/>
      <c r="G25" s="88"/>
      <c r="H25" s="252"/>
      <c r="I25" s="89"/>
      <c r="J25" s="89"/>
      <c r="K25" s="252" t="s">
        <v>323</v>
      </c>
      <c r="L25" s="88"/>
      <c r="M25" s="88"/>
      <c r="N25" s="374"/>
      <c r="O25" s="40"/>
      <c r="AI25" s="44"/>
    </row>
    <row r="26" spans="1:36">
      <c r="A26" s="3"/>
      <c r="B26" s="728" t="s">
        <v>352</v>
      </c>
      <c r="C26" s="729"/>
      <c r="D26" s="388" t="s">
        <v>26</v>
      </c>
      <c r="E26" s="91"/>
      <c r="F26" s="91"/>
      <c r="G26" s="91"/>
      <c r="H26" s="91"/>
      <c r="I26" s="91"/>
      <c r="J26" s="92"/>
      <c r="K26" s="91"/>
      <c r="L26" s="91"/>
      <c r="M26" s="91"/>
      <c r="N26" s="40"/>
      <c r="O26" s="40"/>
      <c r="AI26" s="44"/>
    </row>
    <row r="27" spans="1:36" ht="18.75">
      <c r="A27" s="3"/>
      <c r="B27" s="90" t="s">
        <v>361</v>
      </c>
      <c r="C27" s="91"/>
      <c r="D27" s="91"/>
      <c r="E27" s="91"/>
      <c r="F27" s="91"/>
      <c r="G27" s="91"/>
      <c r="H27" s="91"/>
      <c r="I27" s="91"/>
      <c r="J27" s="92"/>
      <c r="K27" s="91"/>
      <c r="L27" s="91"/>
      <c r="M27" s="91"/>
      <c r="N27" s="40"/>
      <c r="O27" s="40"/>
      <c r="AI27" s="44"/>
    </row>
    <row r="28" spans="1:36" s="506" customFormat="1" ht="15.75" thickBot="1">
      <c r="A28" s="501"/>
      <c r="B28" s="502"/>
      <c r="C28" s="503" t="s">
        <v>493</v>
      </c>
      <c r="D28" s="503" t="s">
        <v>462</v>
      </c>
      <c r="E28" s="503" t="s">
        <v>463</v>
      </c>
      <c r="F28" s="503" t="s">
        <v>464</v>
      </c>
      <c r="G28" s="503" t="s">
        <v>465</v>
      </c>
      <c r="H28" s="503" t="s">
        <v>466</v>
      </c>
      <c r="I28" s="503" t="s">
        <v>467</v>
      </c>
      <c r="J28" s="504" t="s">
        <v>468</v>
      </c>
      <c r="K28" s="503" t="s">
        <v>479</v>
      </c>
      <c r="L28" s="503" t="s">
        <v>480</v>
      </c>
      <c r="M28" s="503" t="s">
        <v>481</v>
      </c>
      <c r="N28" s="504" t="s">
        <v>482</v>
      </c>
      <c r="O28" s="504"/>
      <c r="AH28" s="505"/>
      <c r="AI28" s="505"/>
      <c r="AJ28" s="505"/>
    </row>
    <row r="29" spans="1:36" ht="15.75" thickBot="1">
      <c r="A29" s="3"/>
      <c r="B29" s="677"/>
      <c r="C29" s="678"/>
      <c r="D29" s="678"/>
      <c r="E29" s="678"/>
      <c r="F29" s="678"/>
      <c r="G29" s="678"/>
      <c r="H29" s="678"/>
      <c r="I29" s="678"/>
      <c r="J29" s="678"/>
      <c r="K29" s="678"/>
      <c r="L29" s="678"/>
      <c r="M29" s="678"/>
      <c r="N29" s="679"/>
      <c r="P29" s="208"/>
      <c r="Q29" s="209"/>
      <c r="R29" s="210">
        <f>+C33</f>
        <v>3728250.7482587667</v>
      </c>
      <c r="S29" s="208"/>
    </row>
    <row r="30" spans="1:36">
      <c r="A30" s="3"/>
      <c r="B30" s="93" t="s">
        <v>273</v>
      </c>
      <c r="C30" s="341" t="s">
        <v>112</v>
      </c>
      <c r="D30" s="341" t="s">
        <v>113</v>
      </c>
      <c r="E30" s="341" t="s">
        <v>114</v>
      </c>
      <c r="F30" s="341" t="s">
        <v>115</v>
      </c>
      <c r="G30" s="341" t="s">
        <v>126</v>
      </c>
      <c r="H30" s="341" t="s">
        <v>127</v>
      </c>
      <c r="I30" s="341" t="s">
        <v>128</v>
      </c>
      <c r="J30" s="341" t="s">
        <v>129</v>
      </c>
      <c r="K30" s="341" t="s">
        <v>130</v>
      </c>
      <c r="L30" s="341" t="s">
        <v>131</v>
      </c>
      <c r="M30" s="341" t="s">
        <v>132</v>
      </c>
      <c r="N30" s="342" t="s">
        <v>292</v>
      </c>
      <c r="O30" s="343" t="s">
        <v>9</v>
      </c>
      <c r="P30" s="208"/>
      <c r="Q30" s="209"/>
      <c r="R30" s="210">
        <f>+D33</f>
        <v>5632849.5931904744</v>
      </c>
      <c r="S30" s="208"/>
    </row>
    <row r="31" spans="1:36">
      <c r="A31" s="3"/>
      <c r="B31" s="259" t="str">
        <f>CONCATENATE("Budget (in ",'Data Entry'!$D$26,")")</f>
        <v>Budget (in $)</v>
      </c>
      <c r="C31" s="350">
        <v>3728250.7482587667</v>
      </c>
      <c r="D31" s="350">
        <v>1904598.8449317082</v>
      </c>
      <c r="E31" s="350">
        <v>565239.36540186265</v>
      </c>
      <c r="F31" s="350">
        <v>521840.43337822269</v>
      </c>
      <c r="G31" s="350"/>
      <c r="H31" s="350"/>
      <c r="I31" s="350"/>
      <c r="J31" s="350"/>
      <c r="K31" s="350"/>
      <c r="L31" s="350"/>
      <c r="M31" s="350"/>
      <c r="N31" s="350"/>
      <c r="O31" s="752">
        <f>+SUM(C35:N35)</f>
        <v>1.6628252096445473</v>
      </c>
      <c r="P31" s="208"/>
      <c r="Q31" s="209"/>
      <c r="R31" s="210">
        <f>+E33</f>
        <v>6198088.9585923366</v>
      </c>
      <c r="S31" s="208"/>
    </row>
    <row r="32" spans="1:36">
      <c r="A32" s="3"/>
      <c r="B32" s="93" t="str">
        <f>CONCATENATE("Disbursements by GF (in ", $D$26,")")</f>
        <v>Disbursements by GF (in $)</v>
      </c>
      <c r="C32" s="351">
        <v>4454139</v>
      </c>
      <c r="D32" s="351">
        <v>6719929</v>
      </c>
      <c r="E32" s="351">
        <v>0</v>
      </c>
      <c r="F32" s="351">
        <v>0</v>
      </c>
      <c r="G32" s="351"/>
      <c r="H32" s="351"/>
      <c r="I32" s="350"/>
      <c r="J32" s="350"/>
      <c r="K32" s="350"/>
      <c r="L32" s="350"/>
      <c r="M32" s="350"/>
      <c r="N32" s="350"/>
      <c r="O32" s="753"/>
      <c r="P32" s="208"/>
      <c r="Q32" s="209"/>
      <c r="R32" s="210">
        <f>+F33</f>
        <v>6719929.391970559</v>
      </c>
      <c r="S32" s="208"/>
    </row>
    <row r="33" spans="1:35">
      <c r="A33" s="3"/>
      <c r="B33" s="94" t="s">
        <v>366</v>
      </c>
      <c r="C33" s="352">
        <f>+C31</f>
        <v>3728250.7482587667</v>
      </c>
      <c r="D33" s="352">
        <f>IF(AND(D31=0,D32=0),0,+C33+D31)</f>
        <v>5632849.5931904744</v>
      </c>
      <c r="E33" s="352">
        <f>IF(AND(E31=0,E32=0),0,+D33+E31)</f>
        <v>6198088.9585923366</v>
      </c>
      <c r="F33" s="352">
        <f t="shared" ref="F33:M33" si="0">IF(AND(F31=0,F32=0),0,+E33+F31)</f>
        <v>6719929.391970559</v>
      </c>
      <c r="G33" s="352">
        <f t="shared" si="0"/>
        <v>0</v>
      </c>
      <c r="H33" s="352">
        <f t="shared" si="0"/>
        <v>0</v>
      </c>
      <c r="I33" s="352">
        <f t="shared" si="0"/>
        <v>0</v>
      </c>
      <c r="J33" s="352">
        <f t="shared" si="0"/>
        <v>0</v>
      </c>
      <c r="K33" s="352">
        <f t="shared" si="0"/>
        <v>0</v>
      </c>
      <c r="L33" s="352">
        <f t="shared" si="0"/>
        <v>0</v>
      </c>
      <c r="M33" s="352">
        <f t="shared" si="0"/>
        <v>0</v>
      </c>
      <c r="N33" s="352">
        <f>IF(AND(N31=0,N32=0),0,+M33+N31)</f>
        <v>0</v>
      </c>
      <c r="O33" s="753"/>
      <c r="P33" s="337"/>
      <c r="Q33" s="209"/>
      <c r="R33" s="210">
        <f>+G33</f>
        <v>0</v>
      </c>
      <c r="S33" s="208"/>
    </row>
    <row r="34" spans="1:35" ht="15.75" thickBot="1">
      <c r="A34" s="3"/>
      <c r="B34" s="95" t="s">
        <v>367</v>
      </c>
      <c r="C34" s="353">
        <f>+C32</f>
        <v>4454139</v>
      </c>
      <c r="D34" s="353">
        <f>IF(AND(D31=0,D32=0),0,+C34+D32)</f>
        <v>11174068</v>
      </c>
      <c r="E34" s="353">
        <f t="shared" ref="E34:N34" si="1">IF(AND(E31=0,E32=0),0,+D34+E32)</f>
        <v>11174068</v>
      </c>
      <c r="F34" s="353">
        <f t="shared" si="1"/>
        <v>11174068</v>
      </c>
      <c r="G34" s="353">
        <f t="shared" si="1"/>
        <v>0</v>
      </c>
      <c r="H34" s="353">
        <f t="shared" si="1"/>
        <v>0</v>
      </c>
      <c r="I34" s="353">
        <f t="shared" si="1"/>
        <v>0</v>
      </c>
      <c r="J34" s="353">
        <f t="shared" ref="J34" si="2">IF(AND(J31=0,J32=0),0,+I34+J32)</f>
        <v>0</v>
      </c>
      <c r="K34" s="353">
        <f t="shared" ref="K34" si="3">IF(AND(K31=0,K32=0),0,+J34+K32)</f>
        <v>0</v>
      </c>
      <c r="L34" s="353">
        <f t="shared" ref="L34" si="4">IF(AND(L31=0,L32=0),0,+K34+L32)</f>
        <v>0</v>
      </c>
      <c r="M34" s="353">
        <f t="shared" si="1"/>
        <v>0</v>
      </c>
      <c r="N34" s="353">
        <f t="shared" si="1"/>
        <v>0</v>
      </c>
      <c r="O34" s="754"/>
      <c r="P34" s="337"/>
      <c r="Q34" s="209"/>
      <c r="R34" s="210">
        <f>+H33</f>
        <v>0</v>
      </c>
      <c r="S34" s="208"/>
    </row>
    <row r="35" spans="1:35">
      <c r="A35" s="3"/>
      <c r="B35" s="3"/>
      <c r="C35" s="318">
        <f>+IF(AND(C30=$C$16,C33&lt;&gt;0),C34/C33,0)</f>
        <v>0</v>
      </c>
      <c r="D35" s="318">
        <f t="shared" ref="D35:N35" si="5">+IF(AND(D30=$C$16,D33&lt;&gt;0),D34/D33,0)</f>
        <v>0</v>
      </c>
      <c r="E35" s="318">
        <f t="shared" si="5"/>
        <v>0</v>
      </c>
      <c r="F35" s="318">
        <f t="shared" si="5"/>
        <v>1.6628252096445473</v>
      </c>
      <c r="G35" s="318">
        <f t="shared" si="5"/>
        <v>0</v>
      </c>
      <c r="H35" s="318">
        <f t="shared" si="5"/>
        <v>0</v>
      </c>
      <c r="I35" s="318">
        <f t="shared" si="5"/>
        <v>0</v>
      </c>
      <c r="J35" s="318">
        <f t="shared" si="5"/>
        <v>0</v>
      </c>
      <c r="K35" s="318">
        <f t="shared" si="5"/>
        <v>0</v>
      </c>
      <c r="L35" s="318">
        <f t="shared" si="5"/>
        <v>0</v>
      </c>
      <c r="M35" s="318">
        <f t="shared" si="5"/>
        <v>0</v>
      </c>
      <c r="N35" s="318">
        <f t="shared" si="5"/>
        <v>0</v>
      </c>
      <c r="O35" s="270"/>
      <c r="P35" s="211"/>
      <c r="Q35" s="212"/>
      <c r="R35" s="210">
        <f>+I33</f>
        <v>0</v>
      </c>
      <c r="S35" s="208"/>
    </row>
    <row r="36" spans="1:35" ht="18.75">
      <c r="A36" s="3"/>
      <c r="B36" s="90" t="s">
        <v>426</v>
      </c>
      <c r="C36" s="3"/>
      <c r="D36" s="3"/>
      <c r="E36" s="327"/>
      <c r="F36" s="3"/>
      <c r="G36" s="249"/>
      <c r="H36" s="3"/>
      <c r="I36" s="3"/>
      <c r="J36" s="3"/>
      <c r="K36" s="3"/>
      <c r="L36" s="3"/>
      <c r="M36" s="3"/>
      <c r="N36" s="41"/>
      <c r="O36" s="41"/>
      <c r="AI36" s="20"/>
    </row>
    <row r="37" spans="1:35" ht="15.75" thickBot="1">
      <c r="A37" s="3"/>
      <c r="B37" s="3"/>
      <c r="C37" s="3"/>
      <c r="D37" s="3"/>
      <c r="E37" s="3"/>
      <c r="F37" s="3"/>
      <c r="G37" s="3"/>
      <c r="H37" s="3"/>
      <c r="I37" s="3"/>
      <c r="J37" s="3"/>
      <c r="K37" s="3"/>
      <c r="L37" s="3"/>
      <c r="M37" s="3"/>
      <c r="N37" s="39"/>
      <c r="O37" s="39"/>
    </row>
    <row r="38" spans="1:35" ht="30" customHeight="1">
      <c r="A38" s="3"/>
      <c r="B38" s="361" t="s">
        <v>427</v>
      </c>
      <c r="C38" s="362" t="str">
        <f>CONCATENATE("Cumulative Budget (in ",'Data Entry'!$D$26,")")</f>
        <v>Cumulative Budget (in $)</v>
      </c>
      <c r="D38" s="363" t="str">
        <f>CONCATENATE("Cumulative Expenditures (in ",'Data Entry'!$D$26,")")</f>
        <v>Cumulative Expenditures (in $)</v>
      </c>
      <c r="E38" s="549" t="s">
        <v>510</v>
      </c>
      <c r="F38" s="550" t="s">
        <v>513</v>
      </c>
      <c r="G38" s="551" t="s">
        <v>512</v>
      </c>
      <c r="H38" s="3"/>
      <c r="I38" s="3"/>
      <c r="J38" s="100"/>
      <c r="K38" s="42"/>
      <c r="N38"/>
      <c r="O38"/>
      <c r="AE38" s="20"/>
      <c r="AF38" s="36"/>
    </row>
    <row r="39" spans="1:35" ht="14.25" customHeight="1">
      <c r="A39" s="3"/>
      <c r="B39" s="364" t="s">
        <v>483</v>
      </c>
      <c r="C39" s="533">
        <v>3077785.8239703034</v>
      </c>
      <c r="D39" s="532">
        <v>2785565.6</v>
      </c>
      <c r="E39" s="552">
        <f>C39/C$51</f>
        <v>0.45800865521710044</v>
      </c>
      <c r="F39" s="553">
        <f>D39/C39</f>
        <v>0.90505504908936674</v>
      </c>
      <c r="G39" s="554">
        <v>0.83566765344965122</v>
      </c>
      <c r="H39" s="3"/>
      <c r="I39" s="3"/>
      <c r="J39" s="101"/>
      <c r="K39" s="43"/>
      <c r="N39"/>
      <c r="O39"/>
      <c r="AE39" s="20"/>
      <c r="AF39" s="36"/>
    </row>
    <row r="40" spans="1:35" ht="14.25" customHeight="1">
      <c r="A40" s="3"/>
      <c r="B40" s="364" t="s">
        <v>484</v>
      </c>
      <c r="C40" s="533">
        <v>529020.98029208975</v>
      </c>
      <c r="D40" s="532">
        <v>233429.57</v>
      </c>
      <c r="E40" s="552">
        <f t="shared" ref="E40:E48" si="6">C40/C$51</f>
        <v>7.8724187329140827E-2</v>
      </c>
      <c r="F40" s="553">
        <f t="shared" ref="F40:F48" si="7">D40/C40</f>
        <v>0.44124822775670619</v>
      </c>
      <c r="G40" s="554">
        <v>0.36712305217192864</v>
      </c>
      <c r="H40" s="3"/>
      <c r="I40" s="3"/>
      <c r="J40" s="3"/>
      <c r="K40" s="43"/>
      <c r="N40"/>
      <c r="O40"/>
      <c r="AE40" s="20"/>
      <c r="AF40" s="36"/>
    </row>
    <row r="41" spans="1:35" ht="14.25" customHeight="1">
      <c r="A41" s="3"/>
      <c r="B41" s="364" t="s">
        <v>485</v>
      </c>
      <c r="C41" s="533">
        <v>1042598.3969604061</v>
      </c>
      <c r="D41" s="532">
        <v>345714.11</v>
      </c>
      <c r="E41" s="552">
        <f t="shared" si="6"/>
        <v>0.15515020116225853</v>
      </c>
      <c r="F41" s="553">
        <f t="shared" si="7"/>
        <v>0.33158895218705087</v>
      </c>
      <c r="G41" s="554">
        <v>0.30156943297394018</v>
      </c>
      <c r="H41" s="3"/>
      <c r="I41" s="3"/>
      <c r="J41" s="3"/>
      <c r="K41" s="43"/>
      <c r="N41"/>
      <c r="O41"/>
      <c r="AE41" s="20"/>
      <c r="AF41" s="36"/>
    </row>
    <row r="42" spans="1:35" ht="14.25" customHeight="1">
      <c r="A42" s="3"/>
      <c r="B42" s="364" t="s">
        <v>486</v>
      </c>
      <c r="C42" s="534">
        <v>0</v>
      </c>
      <c r="D42" s="532">
        <v>5088011.34</v>
      </c>
      <c r="E42" s="552">
        <f t="shared" si="6"/>
        <v>0</v>
      </c>
      <c r="F42" s="553" t="e">
        <f t="shared" si="7"/>
        <v>#DIV/0!</v>
      </c>
      <c r="G42" s="554" t="e">
        <v>#DIV/0!</v>
      </c>
      <c r="H42" s="3"/>
      <c r="I42" s="3"/>
      <c r="J42" s="3"/>
      <c r="K42" s="43"/>
      <c r="N42"/>
      <c r="O42"/>
      <c r="AE42" s="20"/>
      <c r="AF42" s="36"/>
    </row>
    <row r="43" spans="1:35" ht="14.25" customHeight="1">
      <c r="A43" s="3"/>
      <c r="B43" s="364" t="s">
        <v>487</v>
      </c>
      <c r="C43" s="534">
        <v>133278.59</v>
      </c>
      <c r="D43" s="532">
        <v>60044.77</v>
      </c>
      <c r="E43" s="552">
        <f t="shared" si="6"/>
        <v>1.9833331903643295E-2</v>
      </c>
      <c r="F43" s="553">
        <f t="shared" si="7"/>
        <v>0.45052074755592775</v>
      </c>
      <c r="G43" s="554">
        <v>0.32254670594225554</v>
      </c>
      <c r="H43" s="521"/>
      <c r="I43" s="3"/>
      <c r="J43" s="202"/>
      <c r="K43" s="500"/>
      <c r="N43"/>
      <c r="O43"/>
      <c r="AE43" s="20"/>
      <c r="AF43" s="36"/>
    </row>
    <row r="44" spans="1:35" ht="14.25" customHeight="1">
      <c r="A44" s="3"/>
      <c r="B44" s="364" t="s">
        <v>488</v>
      </c>
      <c r="C44" s="533">
        <v>27299.999999999996</v>
      </c>
      <c r="D44" s="532">
        <v>221279.63</v>
      </c>
      <c r="E44" s="552">
        <f t="shared" si="6"/>
        <v>4.0625426857341593E-3</v>
      </c>
      <c r="F44" s="553">
        <f t="shared" si="7"/>
        <v>8.1054809523809528</v>
      </c>
      <c r="G44" s="554">
        <v>7.9158384615384634</v>
      </c>
      <c r="H44" s="3" t="s">
        <v>514</v>
      </c>
      <c r="I44" s="3"/>
      <c r="J44" s="3"/>
      <c r="K44" s="43"/>
      <c r="N44"/>
      <c r="O44"/>
      <c r="AE44" s="20"/>
      <c r="AF44" s="36"/>
    </row>
    <row r="45" spans="1:35">
      <c r="A45" s="3"/>
      <c r="B45" s="364" t="s">
        <v>489</v>
      </c>
      <c r="C45" s="534">
        <v>12000</v>
      </c>
      <c r="D45" s="532">
        <v>9983.59</v>
      </c>
      <c r="E45" s="552">
        <f t="shared" si="6"/>
        <v>1.7857330486743561E-3</v>
      </c>
      <c r="F45" s="553">
        <f t="shared" si="7"/>
        <v>0.83196583333333329</v>
      </c>
      <c r="G45" s="554">
        <v>0.42914444444444444</v>
      </c>
      <c r="H45" s="202"/>
      <c r="I45" s="202"/>
      <c r="J45" s="3"/>
      <c r="K45" s="43"/>
      <c r="N45"/>
      <c r="O45"/>
      <c r="AE45" s="20"/>
      <c r="AF45" s="36"/>
    </row>
    <row r="46" spans="1:35" ht="15" customHeight="1">
      <c r="A46" s="3"/>
      <c r="B46" s="364" t="s">
        <v>490</v>
      </c>
      <c r="C46" s="534">
        <v>1566471.9310690816</v>
      </c>
      <c r="D46" s="532">
        <v>410214.44</v>
      </c>
      <c r="E46" s="552">
        <f t="shared" si="6"/>
        <v>0.23310839142756642</v>
      </c>
      <c r="F46" s="553">
        <f t="shared" si="7"/>
        <v>0.26187155471087054</v>
      </c>
      <c r="G46" s="554">
        <v>0.19581186349669452</v>
      </c>
      <c r="H46" s="202"/>
      <c r="I46" s="202"/>
      <c r="J46" s="3"/>
      <c r="K46" s="20"/>
      <c r="N46"/>
      <c r="O46"/>
      <c r="AE46" s="20"/>
      <c r="AF46" s="36"/>
    </row>
    <row r="47" spans="1:35">
      <c r="A47" s="3"/>
      <c r="B47" s="364" t="s">
        <v>491</v>
      </c>
      <c r="C47" s="534">
        <v>164303.48286049729</v>
      </c>
      <c r="D47" s="532">
        <v>7253.65</v>
      </c>
      <c r="E47" s="552">
        <f t="shared" si="6"/>
        <v>2.4450179946357554E-2</v>
      </c>
      <c r="F47" s="553">
        <f t="shared" si="7"/>
        <v>4.4147877292161533E-2</v>
      </c>
      <c r="G47" s="554">
        <v>8.2617552586451926E-2</v>
      </c>
      <c r="H47" s="3"/>
      <c r="I47" s="202"/>
      <c r="J47" s="3"/>
      <c r="K47" s="20"/>
      <c r="N47"/>
      <c r="O47"/>
      <c r="AE47" s="20"/>
      <c r="AF47" s="36"/>
    </row>
    <row r="48" spans="1:35">
      <c r="A48" s="3"/>
      <c r="B48" s="364" t="s">
        <v>492</v>
      </c>
      <c r="C48" s="535">
        <v>167170.18681818183</v>
      </c>
      <c r="D48" s="532">
        <v>173563.43</v>
      </c>
      <c r="E48" s="552">
        <f t="shared" si="6"/>
        <v>2.4876777279524458E-2</v>
      </c>
      <c r="F48" s="553">
        <f t="shared" si="7"/>
        <v>1.0382439195858026</v>
      </c>
      <c r="G48" s="554">
        <v>0.67191161135660471</v>
      </c>
      <c r="H48" s="3"/>
      <c r="I48" s="3"/>
      <c r="J48" s="3"/>
      <c r="K48" s="20"/>
      <c r="N48"/>
      <c r="O48"/>
      <c r="AE48" s="20"/>
      <c r="AF48" s="36"/>
    </row>
    <row r="49" spans="1:36">
      <c r="A49" s="3"/>
      <c r="B49" s="364"/>
      <c r="C49" s="525"/>
      <c r="D49" s="524"/>
      <c r="E49" s="555"/>
      <c r="F49" s="556"/>
      <c r="G49" s="557"/>
      <c r="H49" s="15"/>
      <c r="I49" s="15"/>
      <c r="J49" s="15"/>
      <c r="K49" s="539"/>
      <c r="N49"/>
      <c r="O49"/>
      <c r="AE49" s="36"/>
      <c r="AF49" s="36"/>
    </row>
    <row r="50" spans="1:36" ht="30.75" thickBot="1">
      <c r="A50" s="3"/>
      <c r="B50" s="548" t="s">
        <v>516</v>
      </c>
      <c r="C50" s="525"/>
      <c r="D50" s="526"/>
      <c r="E50" s="961">
        <f>D51/(C51+5000000)</f>
        <v>0.79651163567551364</v>
      </c>
      <c r="F50" s="15"/>
      <c r="G50" s="15"/>
      <c r="H50" s="15"/>
      <c r="I50" s="15"/>
      <c r="J50" s="15"/>
      <c r="K50" s="499"/>
      <c r="N50"/>
      <c r="O50"/>
      <c r="AE50" s="36"/>
      <c r="AF50" s="36"/>
    </row>
    <row r="51" spans="1:36" ht="15.75" thickBot="1">
      <c r="A51" s="3"/>
      <c r="B51" s="365" t="s">
        <v>66</v>
      </c>
      <c r="C51" s="536">
        <f>SUM(C39:C50)</f>
        <v>6719929.39197056</v>
      </c>
      <c r="D51" s="536">
        <f>SUM(D39:D50)</f>
        <v>9335060.129999999</v>
      </c>
      <c r="E51" s="960">
        <f>D51/C51</f>
        <v>1.389160448791944</v>
      </c>
      <c r="F51" s="755" t="str">
        <f ca="1">+IF((ROUND(C51,0)=ROUND(OFFSET(B33,0,RIGHT('Data Entry'!$C$16,LEN('Data Entry'!$C$16)-1),1,1),0)),"OK: Data match","Warning:  Cumulative Budget data do not match")</f>
        <v>OK: Data match</v>
      </c>
      <c r="G51" s="756"/>
      <c r="H51" s="756"/>
      <c r="I51" s="757"/>
      <c r="J51" s="202"/>
      <c r="K51" s="202"/>
      <c r="L51" s="202"/>
      <c r="M51" s="211"/>
      <c r="N51" s="212"/>
      <c r="O51" s="210"/>
      <c r="P51" s="208"/>
      <c r="AE51" s="36"/>
      <c r="AF51" s="36"/>
    </row>
    <row r="52" spans="1:36" s="546" customFormat="1">
      <c r="A52" s="540"/>
      <c r="C52" s="558"/>
      <c r="D52" s="559">
        <f>D51/C51</f>
        <v>1.389160448791944</v>
      </c>
      <c r="E52" s="560"/>
      <c r="F52" s="541"/>
      <c r="G52" s="541"/>
      <c r="H52" s="541"/>
      <c r="I52" s="541"/>
      <c r="J52" s="541"/>
      <c r="K52" s="541"/>
      <c r="L52" s="541"/>
      <c r="M52" s="541"/>
      <c r="N52" s="541"/>
      <c r="O52" s="541"/>
      <c r="P52" s="542"/>
      <c r="Q52" s="543"/>
      <c r="R52" s="544"/>
      <c r="S52" s="545"/>
      <c r="AH52" s="547"/>
      <c r="AI52" s="547"/>
      <c r="AJ52" s="547"/>
    </row>
    <row r="53" spans="1:36" ht="18.75">
      <c r="A53" s="3"/>
      <c r="B53" s="90" t="s">
        <v>360</v>
      </c>
      <c r="C53" s="551"/>
      <c r="D53" s="554">
        <f>(D51-D42)/C51</f>
        <v>0.63200794863628618</v>
      </c>
      <c r="E53" s="551"/>
      <c r="F53" s="3"/>
      <c r="G53" s="3"/>
      <c r="H53" s="3"/>
      <c r="I53" s="3"/>
      <c r="J53" s="3"/>
      <c r="K53" s="3"/>
      <c r="L53" s="3"/>
      <c r="M53" s="3"/>
      <c r="P53" s="208"/>
      <c r="Q53" s="209"/>
      <c r="R53" s="210">
        <f>+J33</f>
        <v>0</v>
      </c>
      <c r="S53" s="208"/>
    </row>
    <row r="54" spans="1:36" ht="15.75" thickBot="1">
      <c r="A54" s="3"/>
      <c r="B54" s="537" t="s">
        <v>511</v>
      </c>
      <c r="C54" s="561">
        <f>C51-6198089</f>
        <v>521840.39197055995</v>
      </c>
      <c r="D54" s="562">
        <f>D51-8577436</f>
        <v>757624.12999999896</v>
      </c>
      <c r="E54" s="554">
        <f>D54/C54</f>
        <v>1.4518311377528264</v>
      </c>
      <c r="F54" s="3"/>
      <c r="G54" s="3"/>
      <c r="H54" s="3"/>
      <c r="I54" s="3"/>
      <c r="J54" s="3"/>
      <c r="K54" s="3"/>
      <c r="L54" s="3"/>
      <c r="M54" s="3"/>
      <c r="P54" s="208"/>
      <c r="Q54" s="209"/>
      <c r="R54" s="210">
        <f>+K33</f>
        <v>0</v>
      </c>
      <c r="S54" s="208"/>
    </row>
    <row r="55" spans="1:36" ht="35.25" customHeight="1">
      <c r="A55" s="3"/>
      <c r="B55" s="275"/>
      <c r="C55" s="276" t="s">
        <v>358</v>
      </c>
      <c r="D55" s="276" t="s">
        <v>359</v>
      </c>
      <c r="E55" s="380" t="str">
        <f>CONCATENATE("Totals (in ",D26,")")</f>
        <v>Totals (in $)</v>
      </c>
      <c r="F55" s="3"/>
      <c r="G55" s="460" t="s">
        <v>416</v>
      </c>
      <c r="H55" s="272"/>
      <c r="I55" s="260"/>
      <c r="J55" s="260"/>
      <c r="K55" s="260"/>
      <c r="L55" s="260"/>
      <c r="M55" s="22"/>
      <c r="N55" s="22"/>
      <c r="O55" s="208"/>
      <c r="P55" s="209"/>
      <c r="Q55" s="210">
        <f>+M33</f>
        <v>0</v>
      </c>
      <c r="R55" s="208"/>
      <c r="AH55" s="20"/>
    </row>
    <row r="56" spans="1:36">
      <c r="A56" s="3"/>
      <c r="B56" s="273" t="s">
        <v>313</v>
      </c>
      <c r="C56" s="354">
        <v>6719929</v>
      </c>
      <c r="D56" s="527">
        <v>0</v>
      </c>
      <c r="E56" s="528">
        <f>+D56+C56</f>
        <v>6719929</v>
      </c>
      <c r="F56" s="3"/>
      <c r="G56" s="461"/>
      <c r="H56" s="272"/>
      <c r="I56" s="96"/>
      <c r="J56" s="205"/>
      <c r="K56" s="206"/>
      <c r="L56" s="97"/>
      <c r="M56" s="37"/>
      <c r="N56" s="37"/>
      <c r="O56" s="208"/>
      <c r="P56" s="208"/>
      <c r="Q56" s="208"/>
      <c r="R56" s="208"/>
      <c r="AH56" s="20"/>
    </row>
    <row r="57" spans="1:36">
      <c r="A57" s="3"/>
      <c r="B57" s="273" t="s">
        <v>469</v>
      </c>
      <c r="C57" s="354">
        <v>8577435.6699999999</v>
      </c>
      <c r="D57" s="527">
        <f>D51-C57</f>
        <v>757624.45999999903</v>
      </c>
      <c r="E57" s="528">
        <f>+D57+C57</f>
        <v>9335060.129999999</v>
      </c>
      <c r="F57" s="3"/>
      <c r="G57" s="462"/>
      <c r="H57" s="272"/>
      <c r="I57" s="96"/>
      <c r="J57" s="205"/>
      <c r="K57" s="205"/>
      <c r="L57" s="97"/>
      <c r="M57" s="38"/>
      <c r="N57" s="38"/>
      <c r="O57" s="208"/>
      <c r="P57" s="208"/>
      <c r="Q57" s="208"/>
      <c r="R57" s="208"/>
      <c r="AH57" s="20"/>
    </row>
    <row r="58" spans="1:36">
      <c r="A58" s="3"/>
      <c r="B58" s="273" t="s">
        <v>275</v>
      </c>
      <c r="C58" s="354">
        <v>0</v>
      </c>
      <c r="D58" s="354">
        <v>0</v>
      </c>
      <c r="E58" s="355">
        <f>+D58+C58</f>
        <v>0</v>
      </c>
      <c r="F58" s="3"/>
      <c r="G58" s="462"/>
      <c r="H58" s="277"/>
      <c r="I58" s="96"/>
      <c r="J58" s="205"/>
      <c r="K58" s="206"/>
      <c r="L58" s="97"/>
      <c r="M58" s="37"/>
      <c r="N58" s="37"/>
      <c r="O58"/>
      <c r="AH58" s="20"/>
    </row>
    <row r="59" spans="1:36" ht="15.75" thickBot="1">
      <c r="A59" s="3"/>
      <c r="B59" s="274" t="s">
        <v>276</v>
      </c>
      <c r="C59" s="356">
        <v>0</v>
      </c>
      <c r="D59" s="356">
        <v>0</v>
      </c>
      <c r="E59" s="357">
        <f>+D59+C59</f>
        <v>0</v>
      </c>
      <c r="F59" s="3"/>
      <c r="G59" s="463"/>
      <c r="H59" s="278"/>
      <c r="I59" s="98"/>
      <c r="J59" s="98"/>
      <c r="K59" s="98"/>
      <c r="L59" s="97"/>
      <c r="M59" s="38"/>
      <c r="N59" s="38"/>
      <c r="O59"/>
      <c r="AH59" s="20"/>
    </row>
    <row r="60" spans="1:36" ht="15.75" customHeight="1">
      <c r="A60" s="3"/>
      <c r="B60" s="3"/>
      <c r="C60" s="3"/>
      <c r="D60" s="3"/>
      <c r="E60" s="3"/>
      <c r="F60" s="3"/>
      <c r="G60" s="3"/>
      <c r="H60" s="3"/>
      <c r="I60" s="3"/>
      <c r="J60" s="3"/>
      <c r="K60" s="3"/>
      <c r="L60" s="3"/>
      <c r="M60" s="3"/>
      <c r="AI60" s="20"/>
    </row>
    <row r="61" spans="1:36">
      <c r="A61" s="3"/>
      <c r="B61" s="3"/>
      <c r="C61" s="3"/>
      <c r="D61" s="258"/>
      <c r="E61" s="3"/>
      <c r="F61" s="3"/>
      <c r="G61" s="3"/>
      <c r="H61" s="3"/>
      <c r="I61" s="3"/>
      <c r="J61" s="3"/>
      <c r="K61" s="3"/>
      <c r="L61" s="3"/>
      <c r="M61" s="3"/>
    </row>
    <row r="62" spans="1:36" ht="18.75">
      <c r="A62" s="3"/>
      <c r="B62" s="90" t="s">
        <v>362</v>
      </c>
      <c r="C62" s="3"/>
      <c r="D62" s="3"/>
      <c r="E62" s="3"/>
      <c r="F62" s="3"/>
      <c r="G62" s="3"/>
      <c r="H62" s="3"/>
      <c r="I62" s="3"/>
      <c r="J62" s="3"/>
      <c r="K62" s="3"/>
      <c r="L62" s="3"/>
      <c r="M62" s="3"/>
    </row>
    <row r="63" spans="1:36" ht="15.75" thickBot="1">
      <c r="A63" s="3"/>
      <c r="B63" s="3"/>
      <c r="C63" s="3"/>
      <c r="D63" s="3"/>
      <c r="E63" s="3"/>
      <c r="F63" s="3"/>
      <c r="G63" s="3"/>
      <c r="H63" s="3"/>
      <c r="I63" s="3"/>
      <c r="J63" s="3"/>
      <c r="K63" s="3"/>
      <c r="L63" s="3"/>
      <c r="M63" s="3"/>
    </row>
    <row r="64" spans="1:36">
      <c r="A64" s="3"/>
      <c r="B64" s="684" t="s">
        <v>335</v>
      </c>
      <c r="C64" s="685"/>
      <c r="D64" s="686"/>
      <c r="E64" s="3"/>
      <c r="F64" s="3"/>
      <c r="G64" s="3"/>
      <c r="H64" s="3"/>
      <c r="I64" s="3"/>
      <c r="J64" s="3"/>
      <c r="K64" s="3"/>
      <c r="L64" s="3"/>
      <c r="M64" s="36"/>
      <c r="O64"/>
    </row>
    <row r="65" spans="1:30">
      <c r="A65" s="3"/>
      <c r="B65" s="102"/>
      <c r="C65" s="280" t="s">
        <v>67</v>
      </c>
      <c r="D65" s="281" t="s">
        <v>68</v>
      </c>
      <c r="E65" s="3"/>
      <c r="F65" s="3"/>
      <c r="G65" s="3"/>
      <c r="H65" s="3"/>
      <c r="I65" s="3"/>
      <c r="J65" s="3"/>
      <c r="K65" s="3"/>
      <c r="L65" s="3"/>
      <c r="M65" s="36"/>
      <c r="O65"/>
    </row>
    <row r="66" spans="1:30">
      <c r="A66" s="3"/>
      <c r="B66" s="103" t="s">
        <v>6</v>
      </c>
      <c r="C66" s="338">
        <v>45</v>
      </c>
      <c r="D66" s="338">
        <v>45</v>
      </c>
      <c r="E66" s="3" t="s">
        <v>428</v>
      </c>
      <c r="F66" s="3"/>
      <c r="G66" s="3"/>
      <c r="H66" s="3"/>
      <c r="I66" s="3"/>
      <c r="J66" s="3"/>
      <c r="K66" s="3"/>
      <c r="L66" s="3"/>
      <c r="M66" s="36"/>
      <c r="O66"/>
    </row>
    <row r="67" spans="1:30">
      <c r="A67" s="3"/>
      <c r="B67" s="279" t="s">
        <v>346</v>
      </c>
      <c r="C67" s="338">
        <v>45</v>
      </c>
      <c r="D67" s="338" t="s">
        <v>470</v>
      </c>
      <c r="E67" s="3" t="s">
        <v>396</v>
      </c>
      <c r="F67" s="3"/>
      <c r="G67" s="3"/>
      <c r="H67" s="277"/>
      <c r="I67" s="277"/>
      <c r="J67" s="3"/>
      <c r="K67" s="3"/>
      <c r="L67" s="3"/>
      <c r="M67" s="36"/>
      <c r="O67"/>
    </row>
    <row r="68" spans="1:30" ht="15.75" thickBot="1">
      <c r="A68" s="3"/>
      <c r="B68" s="104" t="s">
        <v>347</v>
      </c>
      <c r="C68" s="339"/>
      <c r="D68" s="340"/>
      <c r="E68" s="442" t="s">
        <v>397</v>
      </c>
      <c r="F68" s="3"/>
      <c r="G68" s="3"/>
      <c r="H68" s="277"/>
      <c r="I68" s="277"/>
      <c r="J68" s="3"/>
      <c r="K68" s="3"/>
      <c r="L68" s="3"/>
      <c r="M68" s="36"/>
      <c r="O68"/>
    </row>
    <row r="69" spans="1:30">
      <c r="A69" s="3"/>
      <c r="B69" s="3"/>
      <c r="C69" s="3"/>
      <c r="D69" s="3"/>
      <c r="E69" s="3"/>
      <c r="F69" s="3"/>
      <c r="G69" s="3"/>
      <c r="H69" s="3"/>
      <c r="I69" s="3"/>
      <c r="J69" s="3"/>
      <c r="K69" s="3"/>
      <c r="L69" s="3"/>
      <c r="M69" s="3"/>
    </row>
    <row r="70" spans="1:30" ht="15.75" thickBot="1">
      <c r="A70" s="3"/>
      <c r="B70" s="3"/>
      <c r="C70" s="3"/>
      <c r="D70" s="3"/>
      <c r="E70" s="3"/>
      <c r="F70" s="3"/>
      <c r="G70" s="3"/>
      <c r="H70" s="3"/>
      <c r="I70" s="3"/>
      <c r="J70" s="3"/>
      <c r="K70" s="3"/>
      <c r="L70" s="376"/>
      <c r="M70" s="3"/>
      <c r="AC70" s="19"/>
      <c r="AD70" s="19"/>
    </row>
    <row r="71" spans="1:30" ht="19.5" thickBot="1">
      <c r="A71" s="3"/>
      <c r="B71" s="105" t="s">
        <v>269</v>
      </c>
      <c r="C71" s="106"/>
      <c r="D71" s="106"/>
      <c r="E71" s="106"/>
      <c r="F71" s="106"/>
      <c r="G71" s="106"/>
      <c r="H71" s="301" t="s">
        <v>306</v>
      </c>
      <c r="I71" s="106"/>
      <c r="J71" s="107"/>
      <c r="K71" s="107"/>
      <c r="L71" s="377"/>
      <c r="M71" s="378"/>
      <c r="N71" s="84"/>
      <c r="O71" s="84"/>
      <c r="P71" s="84"/>
      <c r="S71" s="44"/>
      <c r="AC71" s="19"/>
      <c r="AD71" s="19"/>
    </row>
    <row r="72" spans="1:30" ht="18.75">
      <c r="A72" s="3"/>
      <c r="B72" s="109"/>
      <c r="C72" s="108"/>
      <c r="D72" s="108"/>
      <c r="E72" s="108"/>
      <c r="F72" s="108"/>
      <c r="G72" s="108"/>
      <c r="H72" s="108"/>
      <c r="I72" s="108"/>
      <c r="J72" s="108"/>
      <c r="K72" s="110"/>
      <c r="L72" s="110"/>
      <c r="M72" s="108"/>
      <c r="N72" s="84"/>
      <c r="O72" s="84"/>
      <c r="P72" s="84"/>
      <c r="S72" s="44"/>
      <c r="AC72" s="19"/>
      <c r="AD72" s="19"/>
    </row>
    <row r="73" spans="1:30" ht="18.75">
      <c r="A73" s="3"/>
      <c r="B73" s="109" t="s">
        <v>363</v>
      </c>
      <c r="C73" s="108"/>
      <c r="D73" s="108"/>
      <c r="E73" s="485" t="s">
        <v>429</v>
      </c>
      <c r="F73" s="486">
        <f>G16</f>
        <v>42369</v>
      </c>
      <c r="G73" s="108"/>
      <c r="H73" s="108"/>
      <c r="I73" s="108"/>
      <c r="J73" s="108"/>
      <c r="K73" s="110"/>
      <c r="L73" s="110"/>
      <c r="M73" s="108"/>
      <c r="N73" s="84"/>
      <c r="O73" s="84"/>
      <c r="P73" s="84"/>
      <c r="S73" s="44"/>
      <c r="AC73" s="19"/>
      <c r="AD73" s="19"/>
    </row>
    <row r="74" spans="1:30" ht="15.75" thickBot="1">
      <c r="A74" s="3"/>
      <c r="B74" s="2"/>
      <c r="C74" s="111"/>
      <c r="D74" s="111"/>
      <c r="E74" s="111"/>
      <c r="F74" s="111"/>
      <c r="G74" s="111"/>
      <c r="H74" s="2"/>
      <c r="I74" s="111"/>
      <c r="J74" s="2"/>
      <c r="K74" s="2"/>
      <c r="L74" s="2"/>
      <c r="M74" s="2"/>
      <c r="N74" s="20"/>
      <c r="O74" s="19"/>
      <c r="P74" s="19"/>
      <c r="Q74" s="19"/>
      <c r="R74" s="19"/>
      <c r="S74" s="19"/>
      <c r="AD74" s="19"/>
    </row>
    <row r="75" spans="1:30" ht="30">
      <c r="A75" s="3"/>
      <c r="B75" s="726"/>
      <c r="C75" s="727"/>
      <c r="D75" s="113" t="s">
        <v>123</v>
      </c>
      <c r="E75" s="114" t="s">
        <v>299</v>
      </c>
      <c r="F75" s="114" t="s">
        <v>124</v>
      </c>
      <c r="G75" s="115" t="s">
        <v>66</v>
      </c>
      <c r="H75" s="289"/>
      <c r="I75" s="496"/>
      <c r="J75" s="15"/>
      <c r="K75" s="2"/>
      <c r="L75" s="2"/>
      <c r="M75" s="2"/>
      <c r="N75" s="20"/>
      <c r="O75" s="19"/>
      <c r="P75" s="19"/>
      <c r="Q75" s="19"/>
      <c r="R75" s="19"/>
      <c r="S75" s="19"/>
    </row>
    <row r="76" spans="1:30">
      <c r="A76" s="3"/>
      <c r="B76" s="735" t="s">
        <v>417</v>
      </c>
      <c r="C76" s="736"/>
      <c r="D76" s="246"/>
      <c r="E76" s="246"/>
      <c r="F76" s="246"/>
      <c r="G76" s="117"/>
      <c r="H76" s="271"/>
      <c r="I76" s="288"/>
      <c r="J76" s="288"/>
      <c r="K76" s="2"/>
      <c r="L76" s="2"/>
      <c r="M76" s="2"/>
      <c r="N76" s="20"/>
      <c r="O76" s="19"/>
      <c r="P76" s="19"/>
      <c r="Q76" s="19"/>
      <c r="R76" s="19"/>
      <c r="S76" s="19"/>
    </row>
    <row r="77" spans="1:30" ht="15.75" thickBot="1">
      <c r="A77" s="3"/>
      <c r="B77" s="695" t="s">
        <v>18</v>
      </c>
      <c r="C77" s="696"/>
      <c r="D77" s="247"/>
      <c r="E77" s="247"/>
      <c r="F77" s="247"/>
      <c r="G77" s="119"/>
      <c r="H77" s="271"/>
      <c r="I77" s="15"/>
      <c r="J77" s="15"/>
      <c r="K77" s="2"/>
      <c r="L77" s="2"/>
      <c r="M77" s="2"/>
      <c r="N77" s="19"/>
      <c r="O77" s="19"/>
      <c r="P77" s="19"/>
      <c r="Q77" s="19"/>
      <c r="R77" s="19"/>
      <c r="S77" s="19"/>
    </row>
    <row r="78" spans="1:30">
      <c r="A78" s="3"/>
      <c r="B78" s="2"/>
      <c r="C78" s="2"/>
      <c r="D78" s="2"/>
      <c r="E78" s="2"/>
      <c r="F78" s="2"/>
      <c r="G78" s="2"/>
      <c r="H78" s="2"/>
      <c r="I78" s="2"/>
      <c r="J78" s="2"/>
      <c r="K78" s="2"/>
      <c r="L78" s="2"/>
      <c r="M78" s="2"/>
      <c r="N78" s="19"/>
      <c r="O78" s="19"/>
      <c r="P78" s="19"/>
      <c r="Q78" s="19"/>
      <c r="R78" s="19"/>
      <c r="S78" s="19"/>
    </row>
    <row r="79" spans="1:30">
      <c r="A79" s="3"/>
      <c r="B79" s="2"/>
      <c r="C79" s="2"/>
      <c r="D79" s="2"/>
      <c r="E79" s="2"/>
      <c r="F79" s="2"/>
      <c r="G79" s="2"/>
      <c r="H79" s="2"/>
      <c r="I79" s="2"/>
      <c r="J79" s="2"/>
      <c r="K79" s="2"/>
      <c r="L79" s="2"/>
      <c r="M79" s="2"/>
      <c r="N79" s="19"/>
      <c r="O79" s="19"/>
      <c r="P79" s="19"/>
      <c r="S79" s="19"/>
    </row>
    <row r="80" spans="1:30" ht="18.75">
      <c r="A80" s="3"/>
      <c r="B80" s="109" t="s">
        <v>364</v>
      </c>
      <c r="C80" s="2"/>
      <c r="D80" s="485" t="s">
        <v>429</v>
      </c>
      <c r="E80" s="486">
        <f>G16</f>
        <v>42369</v>
      </c>
      <c r="F80" s="2"/>
      <c r="G80" s="2"/>
      <c r="H80" s="2"/>
      <c r="I80" s="2"/>
      <c r="J80" s="2"/>
      <c r="K80" s="2"/>
      <c r="L80" s="2"/>
      <c r="M80" s="2"/>
      <c r="N80" s="19"/>
      <c r="O80" s="19"/>
      <c r="P80" s="19"/>
      <c r="S80" s="19"/>
    </row>
    <row r="81" spans="1:36" ht="15.75" thickBot="1">
      <c r="A81" s="3"/>
      <c r="B81" s="2"/>
      <c r="C81" s="2"/>
      <c r="D81" s="2"/>
      <c r="E81" s="2"/>
      <c r="F81" s="2"/>
      <c r="G81" s="2"/>
      <c r="H81" s="2"/>
      <c r="I81" s="2"/>
      <c r="J81" s="2"/>
      <c r="K81" s="2"/>
      <c r="L81" s="2"/>
      <c r="M81" s="2"/>
      <c r="N81" s="19"/>
      <c r="O81" s="19"/>
      <c r="P81" s="19"/>
      <c r="S81" s="19"/>
    </row>
    <row r="82" spans="1:36">
      <c r="A82" s="3"/>
      <c r="B82" s="120"/>
      <c r="C82" s="112" t="s">
        <v>70</v>
      </c>
      <c r="D82" s="112" t="s">
        <v>88</v>
      </c>
      <c r="E82" s="121" t="s">
        <v>71</v>
      </c>
      <c r="F82" s="15"/>
      <c r="G82" s="15"/>
      <c r="H82" s="15"/>
      <c r="I82" s="478" t="s">
        <v>431</v>
      </c>
      <c r="J82" s="2"/>
      <c r="K82" s="2"/>
      <c r="L82" s="2"/>
      <c r="M82" s="2"/>
      <c r="N82" s="19"/>
      <c r="O82" s="19"/>
      <c r="P82" s="19"/>
      <c r="S82" s="19"/>
    </row>
    <row r="83" spans="1:36" ht="15.75" thickBot="1">
      <c r="A83" s="3"/>
      <c r="B83" s="122" t="s">
        <v>401</v>
      </c>
      <c r="C83" s="328"/>
      <c r="D83" s="328"/>
      <c r="E83" s="329"/>
      <c r="F83" s="251"/>
      <c r="G83" s="255"/>
      <c r="H83" s="15"/>
      <c r="I83" s="479" t="s">
        <v>431</v>
      </c>
      <c r="J83" s="2"/>
      <c r="K83" s="2"/>
      <c r="L83" s="2"/>
      <c r="M83" s="2"/>
      <c r="N83" s="19"/>
      <c r="O83" s="19"/>
      <c r="P83" s="19"/>
      <c r="S83" s="19"/>
    </row>
    <row r="84" spans="1:36">
      <c r="A84" s="3"/>
      <c r="B84" s="2"/>
      <c r="C84" s="2"/>
      <c r="D84" s="2"/>
      <c r="E84" s="2"/>
      <c r="F84" s="2"/>
      <c r="G84" s="2"/>
      <c r="H84" s="2"/>
      <c r="I84" s="2"/>
      <c r="J84" s="2"/>
      <c r="K84" s="2"/>
      <c r="L84" s="2"/>
      <c r="M84" s="2"/>
      <c r="N84" s="19"/>
      <c r="O84" s="19"/>
      <c r="P84" s="19"/>
      <c r="S84" s="19"/>
    </row>
    <row r="85" spans="1:36" ht="18.75">
      <c r="A85" s="3"/>
      <c r="B85" s="109" t="s">
        <v>368</v>
      </c>
      <c r="C85" s="2"/>
      <c r="D85" s="2"/>
      <c r="E85" s="2"/>
      <c r="F85" s="485" t="s">
        <v>429</v>
      </c>
      <c r="G85" s="486">
        <f>G16</f>
        <v>42369</v>
      </c>
      <c r="H85" s="2"/>
      <c r="I85" s="2"/>
      <c r="J85" s="2"/>
      <c r="K85" s="2"/>
      <c r="L85" s="2"/>
      <c r="M85" s="2"/>
      <c r="N85" s="19"/>
      <c r="O85" s="19"/>
      <c r="P85" s="19"/>
      <c r="S85" s="19"/>
    </row>
    <row r="86" spans="1:36" ht="15.75" thickBot="1">
      <c r="A86" s="3"/>
      <c r="B86" s="2"/>
      <c r="C86" s="2"/>
      <c r="D86" s="2"/>
      <c r="E86" s="2"/>
      <c r="F86" s="2"/>
      <c r="G86" s="2"/>
      <c r="H86" s="2"/>
      <c r="I86" s="2"/>
      <c r="J86" s="2"/>
      <c r="K86" s="2"/>
      <c r="L86" s="2"/>
      <c r="M86" s="2"/>
      <c r="N86" s="19"/>
      <c r="O86" s="19"/>
      <c r="P86" s="19"/>
      <c r="S86" s="19"/>
    </row>
    <row r="87" spans="1:36" ht="30">
      <c r="A87" s="3"/>
      <c r="B87" s="120"/>
      <c r="C87" s="112" t="s">
        <v>295</v>
      </c>
      <c r="D87" s="112" t="s">
        <v>74</v>
      </c>
      <c r="E87" s="112" t="s">
        <v>89</v>
      </c>
      <c r="F87" s="112" t="s">
        <v>75</v>
      </c>
      <c r="G87" s="150" t="s">
        <v>125</v>
      </c>
      <c r="H87" s="256"/>
      <c r="I87" s="478" t="s">
        <v>432</v>
      </c>
      <c r="J87" s="2"/>
      <c r="K87" s="2"/>
      <c r="L87" s="2"/>
      <c r="M87" s="2"/>
      <c r="N87" s="19"/>
      <c r="O87" s="19"/>
      <c r="P87" s="19"/>
      <c r="S87" s="19"/>
    </row>
    <row r="88" spans="1:36" ht="15.75" thickBot="1">
      <c r="A88" s="3"/>
      <c r="B88" s="122" t="s">
        <v>133</v>
      </c>
      <c r="C88" s="328">
        <v>0</v>
      </c>
      <c r="D88" s="328">
        <v>0</v>
      </c>
      <c r="E88" s="328">
        <v>0</v>
      </c>
      <c r="F88" s="328">
        <v>0</v>
      </c>
      <c r="G88" s="330">
        <v>0</v>
      </c>
      <c r="H88" s="290"/>
      <c r="I88" s="479" t="s">
        <v>431</v>
      </c>
      <c r="J88" s="2"/>
      <c r="K88" s="2"/>
      <c r="L88" s="2"/>
      <c r="M88" s="2"/>
      <c r="N88" s="19"/>
      <c r="O88" s="19"/>
      <c r="P88" s="19"/>
      <c r="S88" s="19"/>
    </row>
    <row r="89" spans="1:36">
      <c r="A89" s="3"/>
      <c r="B89" s="2"/>
      <c r="C89" s="2"/>
      <c r="D89" s="2"/>
      <c r="E89" s="2"/>
      <c r="F89" s="2"/>
      <c r="G89" s="2"/>
      <c r="H89" s="2"/>
      <c r="J89" s="2"/>
      <c r="K89" s="2"/>
      <c r="L89" s="2"/>
      <c r="M89" s="2"/>
      <c r="N89" s="19"/>
      <c r="O89" s="19"/>
      <c r="P89" s="19"/>
      <c r="S89" s="19"/>
    </row>
    <row r="90" spans="1:36" ht="18.75">
      <c r="A90" s="3"/>
      <c r="B90" s="109" t="s">
        <v>400</v>
      </c>
      <c r="C90" s="2"/>
      <c r="D90" s="2"/>
      <c r="E90" s="487" t="s">
        <v>430</v>
      </c>
      <c r="F90" s="488">
        <f>G16</f>
        <v>42369</v>
      </c>
      <c r="G90" s="2"/>
      <c r="H90" s="2"/>
      <c r="I90" s="2"/>
      <c r="J90" s="2"/>
      <c r="K90" s="2"/>
      <c r="L90" s="2"/>
      <c r="M90" s="2"/>
      <c r="N90" s="19"/>
      <c r="O90" s="19"/>
      <c r="P90" s="19"/>
      <c r="S90" s="19"/>
    </row>
    <row r="91" spans="1:36" ht="15.75" thickBot="1">
      <c r="A91" s="3"/>
      <c r="B91" s="2"/>
      <c r="C91" s="2"/>
      <c r="D91" s="2"/>
      <c r="E91" s="2"/>
      <c r="F91" s="2"/>
      <c r="G91" s="2"/>
      <c r="H91" s="2"/>
      <c r="I91" s="2"/>
      <c r="J91" s="2"/>
      <c r="K91" s="2"/>
      <c r="L91" s="2"/>
      <c r="M91" s="2"/>
      <c r="N91" s="19"/>
      <c r="O91" s="19"/>
      <c r="P91" s="19"/>
      <c r="S91" s="19"/>
    </row>
    <row r="92" spans="1:36">
      <c r="A92" s="3"/>
      <c r="B92" s="120"/>
      <c r="C92" s="123" t="s">
        <v>72</v>
      </c>
      <c r="D92" s="123" t="s">
        <v>73</v>
      </c>
      <c r="E92" s="124" t="s">
        <v>293</v>
      </c>
      <c r="F92" s="2"/>
      <c r="G92" s="2"/>
      <c r="H92" s="2"/>
      <c r="I92" s="2"/>
      <c r="J92" s="19"/>
      <c r="K92" s="19"/>
      <c r="L92" s="19"/>
      <c r="N92"/>
      <c r="O92" s="19"/>
      <c r="AG92" s="36"/>
      <c r="AJ92"/>
    </row>
    <row r="93" spans="1:36">
      <c r="A93" s="3"/>
      <c r="B93" s="116" t="s">
        <v>369</v>
      </c>
      <c r="C93" s="246">
        <v>0</v>
      </c>
      <c r="D93" s="248">
        <v>0</v>
      </c>
      <c r="E93" s="291">
        <f>C93-D93</f>
        <v>0</v>
      </c>
      <c r="F93" s="2"/>
      <c r="G93" s="2"/>
      <c r="H93" s="2"/>
      <c r="I93" s="478" t="s">
        <v>431</v>
      </c>
      <c r="J93" s="19"/>
      <c r="K93" s="19"/>
      <c r="L93" s="19"/>
      <c r="N93"/>
      <c r="O93" s="19"/>
      <c r="AG93" s="36"/>
      <c r="AJ93"/>
    </row>
    <row r="94" spans="1:36" ht="15.75" thickBot="1">
      <c r="A94" s="3"/>
      <c r="B94" s="118" t="s">
        <v>370</v>
      </c>
      <c r="C94" s="247">
        <v>0</v>
      </c>
      <c r="D94" s="292">
        <v>0</v>
      </c>
      <c r="E94" s="291">
        <f>C94-D94</f>
        <v>0</v>
      </c>
      <c r="F94" s="2"/>
      <c r="G94" s="2" t="str">
        <f>+IF((ROUND(G88,0)=ROUND(C94,0)),"OK: SR data match.","Warning: check SR data in M3 and M4.")</f>
        <v>OK: SR data match.</v>
      </c>
      <c r="H94" s="2"/>
      <c r="I94" s="479" t="s">
        <v>431</v>
      </c>
      <c r="J94" s="19"/>
      <c r="K94" s="19"/>
      <c r="L94" s="19"/>
      <c r="N94"/>
      <c r="O94" s="19"/>
      <c r="AG94" s="36"/>
      <c r="AJ94"/>
    </row>
    <row r="95" spans="1:36">
      <c r="A95" s="3"/>
      <c r="B95" s="2"/>
      <c r="C95" s="2"/>
      <c r="D95" s="2"/>
      <c r="E95" s="2"/>
      <c r="F95" s="2"/>
      <c r="G95" s="2"/>
      <c r="H95" s="2"/>
      <c r="I95" s="2"/>
      <c r="J95" s="2"/>
      <c r="K95" s="2"/>
      <c r="L95" s="2"/>
      <c r="M95" s="2"/>
      <c r="N95" s="19"/>
      <c r="O95" s="19"/>
      <c r="P95" s="19"/>
      <c r="S95" s="19"/>
    </row>
    <row r="96" spans="1:36" ht="18.75">
      <c r="A96" s="3"/>
      <c r="B96" s="109" t="s">
        <v>371</v>
      </c>
      <c r="C96" s="2"/>
      <c r="D96" s="2"/>
      <c r="E96" s="2"/>
      <c r="F96" s="2"/>
      <c r="G96" s="2"/>
      <c r="H96" s="2"/>
      <c r="I96" s="2"/>
      <c r="J96" s="2"/>
      <c r="K96" s="2"/>
      <c r="L96" s="2"/>
      <c r="M96" s="2"/>
      <c r="N96" s="19"/>
      <c r="O96" s="19"/>
      <c r="P96" s="19"/>
      <c r="S96" s="19"/>
    </row>
    <row r="97" spans="1:19" ht="15.75" thickBot="1">
      <c r="A97" s="3"/>
      <c r="B97" s="2"/>
      <c r="C97" s="409" t="str">
        <f>C28</f>
        <v>Jan-Mar 2015</v>
      </c>
      <c r="D97" s="409" t="str">
        <f t="shared" ref="D97:N97" si="8">D28</f>
        <v>Apr - Jun 2015</v>
      </c>
      <c r="E97" s="409" t="str">
        <f t="shared" si="8"/>
        <v>Jul - Sept 2015</v>
      </c>
      <c r="F97" s="409" t="str">
        <f t="shared" si="8"/>
        <v>Oct - Dec 2015</v>
      </c>
      <c r="G97" s="409" t="str">
        <f t="shared" si="8"/>
        <v>Jan - Mar 2016</v>
      </c>
      <c r="H97" s="409" t="str">
        <f t="shared" si="8"/>
        <v>Apr - Jun 2016</v>
      </c>
      <c r="I97" s="409" t="str">
        <f t="shared" si="8"/>
        <v>Jul - Sept 2016</v>
      </c>
      <c r="J97" s="409" t="str">
        <f t="shared" si="8"/>
        <v>Oct - Dec 2016</v>
      </c>
      <c r="K97" s="409" t="str">
        <f t="shared" si="8"/>
        <v>Jan - Mar 2017</v>
      </c>
      <c r="L97" s="409" t="str">
        <f t="shared" si="8"/>
        <v>Apr - Jun 2017</v>
      </c>
      <c r="M97" s="409" t="str">
        <f t="shared" si="8"/>
        <v>Jul - Sept 2017</v>
      </c>
      <c r="N97" s="409" t="str">
        <f t="shared" si="8"/>
        <v>Oct - Dec 2017</v>
      </c>
      <c r="O97" s="20"/>
      <c r="P97" s="20"/>
      <c r="S97" s="19"/>
    </row>
    <row r="98" spans="1:19">
      <c r="A98" s="3"/>
      <c r="B98" s="220"/>
      <c r="C98" s="457" t="str">
        <f>C30</f>
        <v>P1</v>
      </c>
      <c r="D98" s="457" t="str">
        <f t="shared" ref="D98:N98" si="9">D30</f>
        <v>P2</v>
      </c>
      <c r="E98" s="457" t="str">
        <f t="shared" si="9"/>
        <v>P3</v>
      </c>
      <c r="F98" s="457" t="str">
        <f t="shared" si="9"/>
        <v>P4</v>
      </c>
      <c r="G98" s="457" t="str">
        <f t="shared" si="9"/>
        <v>P5</v>
      </c>
      <c r="H98" s="457" t="str">
        <f t="shared" si="9"/>
        <v>P6</v>
      </c>
      <c r="I98" s="457" t="str">
        <f t="shared" si="9"/>
        <v>P7</v>
      </c>
      <c r="J98" s="457" t="str">
        <f t="shared" si="9"/>
        <v>P8</v>
      </c>
      <c r="K98" s="457" t="str">
        <f t="shared" si="9"/>
        <v>P9</v>
      </c>
      <c r="L98" s="457" t="str">
        <f t="shared" si="9"/>
        <v>P10</v>
      </c>
      <c r="M98" s="457" t="str">
        <f t="shared" si="9"/>
        <v>P11</v>
      </c>
      <c r="N98" s="457" t="str">
        <f t="shared" si="9"/>
        <v>P12</v>
      </c>
      <c r="O98" s="20"/>
      <c r="P98" s="20"/>
      <c r="S98" s="19"/>
    </row>
    <row r="99" spans="1:19" ht="15" customHeight="1">
      <c r="A99" s="3"/>
      <c r="B99" s="344" t="s">
        <v>350</v>
      </c>
      <c r="C99" s="331">
        <v>56761.768333333333</v>
      </c>
      <c r="D99" s="331">
        <v>19574.375</v>
      </c>
      <c r="E99" s="331">
        <v>37368.07166666667</v>
      </c>
      <c r="F99" s="331">
        <v>19574.375</v>
      </c>
      <c r="G99" s="331"/>
      <c r="H99" s="331"/>
      <c r="I99" s="331"/>
      <c r="J99" s="331"/>
      <c r="K99" s="331"/>
      <c r="L99" s="331"/>
      <c r="M99" s="331"/>
      <c r="N99" s="331"/>
      <c r="O99" s="20"/>
      <c r="P99" s="20"/>
      <c r="S99" s="19"/>
    </row>
    <row r="100" spans="1:19" ht="15" customHeight="1">
      <c r="A100" s="3"/>
      <c r="B100" s="344" t="s">
        <v>348</v>
      </c>
      <c r="C100" s="331">
        <v>5088011.34</v>
      </c>
      <c r="D100" s="331">
        <v>-5088011</v>
      </c>
      <c r="E100" s="331">
        <v>0</v>
      </c>
      <c r="F100" s="331">
        <v>481080.2</v>
      </c>
      <c r="G100" s="331"/>
      <c r="H100" s="331"/>
      <c r="I100" s="331"/>
      <c r="J100" s="331"/>
      <c r="K100" s="331"/>
      <c r="L100" s="331"/>
      <c r="M100" s="331"/>
      <c r="N100" s="331"/>
      <c r="O100" s="344" t="s">
        <v>348</v>
      </c>
      <c r="P100" s="20"/>
      <c r="S100" s="19"/>
    </row>
    <row r="101" spans="1:19" ht="15" customHeight="1">
      <c r="A101" s="3"/>
      <c r="B101" s="344" t="s">
        <v>314</v>
      </c>
      <c r="C101" s="331">
        <v>29446.19</v>
      </c>
      <c r="D101" s="331">
        <v>5091030.3499999996</v>
      </c>
      <c r="E101" s="331">
        <v>4209.72</v>
      </c>
      <c r="F101" s="331">
        <v>23370.93</v>
      </c>
      <c r="G101" s="331"/>
      <c r="H101" s="331"/>
      <c r="I101" s="331"/>
      <c r="J101" s="331"/>
      <c r="K101" s="331"/>
      <c r="L101" s="331"/>
      <c r="M101" s="331"/>
      <c r="N101" s="331"/>
      <c r="O101" s="344" t="s">
        <v>314</v>
      </c>
      <c r="P101" s="20"/>
      <c r="S101" s="19"/>
    </row>
    <row r="102" spans="1:19" ht="15" customHeight="1">
      <c r="A102" s="3"/>
      <c r="B102" s="293" t="s">
        <v>473</v>
      </c>
      <c r="C102" s="332">
        <f>+C99</f>
        <v>56761.768333333333</v>
      </c>
      <c r="D102" s="332">
        <f t="shared" ref="D102:M102" si="10">+C102+D99</f>
        <v>76336.143333333341</v>
      </c>
      <c r="E102" s="332">
        <f>+D102+E99</f>
        <v>113704.21500000001</v>
      </c>
      <c r="F102" s="332">
        <f t="shared" si="10"/>
        <v>133278.59000000003</v>
      </c>
      <c r="G102" s="332">
        <f t="shared" si="10"/>
        <v>133278.59000000003</v>
      </c>
      <c r="H102" s="332">
        <f t="shared" si="10"/>
        <v>133278.59000000003</v>
      </c>
      <c r="I102" s="332">
        <f t="shared" si="10"/>
        <v>133278.59000000003</v>
      </c>
      <c r="J102" s="332">
        <f t="shared" si="10"/>
        <v>133278.59000000003</v>
      </c>
      <c r="K102" s="332">
        <f t="shared" si="10"/>
        <v>133278.59000000003</v>
      </c>
      <c r="L102" s="516">
        <f>+K102+L99</f>
        <v>133278.59000000003</v>
      </c>
      <c r="M102" s="332">
        <f t="shared" si="10"/>
        <v>133278.59000000003</v>
      </c>
      <c r="N102" s="332">
        <f>+M102+N99</f>
        <v>133278.59000000003</v>
      </c>
      <c r="O102" s="293" t="s">
        <v>350</v>
      </c>
      <c r="P102" s="20"/>
      <c r="S102" s="19"/>
    </row>
    <row r="103" spans="1:19" ht="15" customHeight="1">
      <c r="A103" s="3"/>
      <c r="B103" s="293" t="s">
        <v>515</v>
      </c>
      <c r="C103" s="332">
        <f>+C100</f>
        <v>5088011.34</v>
      </c>
      <c r="D103" s="538">
        <f t="shared" ref="D103:N103" si="11">+C103+D100</f>
        <v>0.33999999985098839</v>
      </c>
      <c r="E103" s="538">
        <f>+D103+E100</f>
        <v>0.33999999985098839</v>
      </c>
      <c r="F103" s="332">
        <f t="shared" si="11"/>
        <v>481080.53999999986</v>
      </c>
      <c r="G103" s="332">
        <f t="shared" si="11"/>
        <v>481080.53999999986</v>
      </c>
      <c r="H103" s="332">
        <f t="shared" si="11"/>
        <v>481080.53999999986</v>
      </c>
      <c r="I103" s="332">
        <f t="shared" si="11"/>
        <v>481080.53999999986</v>
      </c>
      <c r="J103" s="332">
        <f t="shared" si="11"/>
        <v>481080.53999999986</v>
      </c>
      <c r="K103" s="332">
        <f t="shared" si="11"/>
        <v>481080.53999999986</v>
      </c>
      <c r="L103" s="516">
        <f t="shared" si="11"/>
        <v>481080.53999999986</v>
      </c>
      <c r="M103" s="332">
        <f t="shared" si="11"/>
        <v>481080.53999999986</v>
      </c>
      <c r="N103" s="332">
        <f t="shared" si="11"/>
        <v>481080.53999999986</v>
      </c>
      <c r="O103" s="293" t="s">
        <v>10</v>
      </c>
      <c r="P103" s="20"/>
      <c r="S103" s="19"/>
    </row>
    <row r="104" spans="1:19">
      <c r="A104" s="3"/>
      <c r="B104" s="294" t="s">
        <v>11</v>
      </c>
      <c r="C104" s="333">
        <f>+C101</f>
        <v>29446.19</v>
      </c>
      <c r="D104" s="332">
        <f t="shared" ref="D104:N104" si="12">+C104+D101</f>
        <v>5120476.54</v>
      </c>
      <c r="E104" s="332">
        <f>+D104+E101</f>
        <v>5124686.26</v>
      </c>
      <c r="F104" s="332">
        <f t="shared" si="12"/>
        <v>5148057.1899999995</v>
      </c>
      <c r="G104" s="332">
        <f t="shared" si="12"/>
        <v>5148057.1899999995</v>
      </c>
      <c r="H104" s="332">
        <f t="shared" si="12"/>
        <v>5148057.1899999995</v>
      </c>
      <c r="I104" s="332">
        <f t="shared" si="12"/>
        <v>5148057.1899999995</v>
      </c>
      <c r="J104" s="332">
        <f t="shared" si="12"/>
        <v>5148057.1899999995</v>
      </c>
      <c r="K104" s="332">
        <f t="shared" si="12"/>
        <v>5148057.1899999995</v>
      </c>
      <c r="L104" s="516">
        <f t="shared" si="12"/>
        <v>5148057.1899999995</v>
      </c>
      <c r="M104" s="332">
        <f t="shared" si="12"/>
        <v>5148057.1899999995</v>
      </c>
      <c r="N104" s="332">
        <f t="shared" si="12"/>
        <v>5148057.1899999995</v>
      </c>
      <c r="O104" s="294" t="s">
        <v>11</v>
      </c>
      <c r="P104" s="20"/>
      <c r="S104" s="19"/>
    </row>
    <row r="105" spans="1:19">
      <c r="A105" s="3"/>
      <c r="B105" s="3"/>
      <c r="C105" s="2"/>
      <c r="D105" s="2"/>
      <c r="E105" s="2"/>
      <c r="F105" s="2"/>
      <c r="G105" s="2"/>
      <c r="H105" s="2"/>
      <c r="I105" s="15"/>
      <c r="J105" s="125"/>
      <c r="K105" s="126"/>
      <c r="L105" s="15"/>
      <c r="M105" s="127"/>
      <c r="N105" s="20"/>
      <c r="O105" s="20"/>
      <c r="P105" s="20"/>
      <c r="S105" s="19"/>
    </row>
    <row r="106" spans="1:19">
      <c r="A106" s="3"/>
      <c r="B106" s="2" t="s">
        <v>380</v>
      </c>
      <c r="C106" s="2"/>
      <c r="D106" s="2"/>
      <c r="E106" s="2"/>
      <c r="F106" s="2"/>
      <c r="G106" s="2"/>
      <c r="H106" s="497"/>
      <c r="I106" s="15"/>
      <c r="J106" s="125"/>
      <c r="K106" s="126"/>
      <c r="L106" s="15"/>
      <c r="M106" s="127"/>
      <c r="N106" s="20"/>
      <c r="O106" s="20"/>
      <c r="P106" s="20"/>
      <c r="S106" s="19"/>
    </row>
    <row r="107" spans="1:19">
      <c r="A107" s="3"/>
      <c r="C107" s="2"/>
      <c r="D107" s="2"/>
      <c r="E107" s="2"/>
      <c r="F107" s="2"/>
      <c r="G107" s="2"/>
      <c r="H107" s="2"/>
      <c r="I107" s="15"/>
      <c r="J107" s="125"/>
      <c r="K107" s="127"/>
      <c r="L107" s="15"/>
      <c r="M107" s="127"/>
      <c r="N107" s="20"/>
      <c r="O107" s="20"/>
      <c r="P107" s="20"/>
      <c r="S107" s="19"/>
    </row>
    <row r="108" spans="1:19">
      <c r="A108" s="3"/>
      <c r="B108" s="3"/>
      <c r="C108" s="3"/>
      <c r="D108" s="3"/>
      <c r="E108" s="3"/>
      <c r="F108" s="3"/>
      <c r="G108" s="3"/>
      <c r="H108" s="3"/>
      <c r="I108" s="15"/>
      <c r="J108" s="15"/>
      <c r="K108" s="15"/>
      <c r="L108" s="15"/>
      <c r="M108" s="15"/>
      <c r="N108" s="20"/>
      <c r="O108" s="20"/>
      <c r="P108" s="20"/>
    </row>
    <row r="109" spans="1:19" ht="18.75">
      <c r="A109" s="3"/>
      <c r="B109" s="109" t="s">
        <v>365</v>
      </c>
      <c r="C109" s="3"/>
      <c r="D109" s="3"/>
      <c r="E109" s="3"/>
      <c r="F109" s="3"/>
      <c r="G109" s="489" t="s">
        <v>429</v>
      </c>
      <c r="H109" s="490">
        <f>G16</f>
        <v>42369</v>
      </c>
      <c r="I109" s="15"/>
      <c r="J109" s="15"/>
      <c r="K109" s="15"/>
      <c r="L109" s="15"/>
      <c r="M109" s="15"/>
      <c r="N109" s="20"/>
      <c r="O109" s="20"/>
      <c r="P109" s="20"/>
    </row>
    <row r="110" spans="1:19" ht="15.75" thickBot="1">
      <c r="A110" s="3"/>
      <c r="B110" s="3"/>
      <c r="C110" s="15"/>
      <c r="D110" s="15"/>
      <c r="E110" s="15"/>
      <c r="F110" s="15"/>
      <c r="G110" s="2"/>
      <c r="H110" s="2"/>
      <c r="I110" s="2"/>
      <c r="J110" s="15"/>
      <c r="K110" s="2"/>
      <c r="L110" s="15"/>
      <c r="M110" s="15"/>
      <c r="N110" s="20"/>
      <c r="O110" s="20"/>
      <c r="P110" s="20"/>
      <c r="Q110" s="19"/>
      <c r="S110" s="20"/>
    </row>
    <row r="111" spans="1:19" ht="81.75" customHeight="1">
      <c r="A111" s="3"/>
      <c r="B111" s="295" t="s">
        <v>40</v>
      </c>
      <c r="C111" s="296" t="s">
        <v>86</v>
      </c>
      <c r="D111" s="297" t="s">
        <v>420</v>
      </c>
      <c r="E111" s="297" t="s">
        <v>421</v>
      </c>
      <c r="F111" s="297" t="s">
        <v>422</v>
      </c>
      <c r="G111" s="297" t="s">
        <v>423</v>
      </c>
      <c r="H111" s="297" t="s">
        <v>398</v>
      </c>
      <c r="I111" s="297" t="s">
        <v>424</v>
      </c>
      <c r="J111" s="297" t="s">
        <v>331</v>
      </c>
      <c r="K111" s="453" t="s">
        <v>399</v>
      </c>
      <c r="L111" s="2"/>
      <c r="M111" s="20"/>
      <c r="N111" s="20"/>
      <c r="O111" s="20"/>
      <c r="P111" s="19"/>
      <c r="R111" s="20"/>
    </row>
    <row r="112" spans="1:19">
      <c r="A112" s="3"/>
      <c r="B112" s="730" t="s">
        <v>41</v>
      </c>
      <c r="C112" s="367" t="s">
        <v>83</v>
      </c>
      <c r="D112" s="368">
        <v>0</v>
      </c>
      <c r="E112" s="369">
        <f>IF(ISBLANK(D112),"",D112*30)</f>
        <v>0</v>
      </c>
      <c r="F112" s="334">
        <v>0</v>
      </c>
      <c r="G112" s="335" t="str">
        <f>IF(AND(E112&gt;0,F112&gt;0),(F112*E112),"")</f>
        <v/>
      </c>
      <c r="H112" s="334">
        <v>0</v>
      </c>
      <c r="I112" s="384" t="str">
        <f>IF(AND(G112&gt;0,H112&gt;0),H112/G112,"")</f>
        <v/>
      </c>
      <c r="J112" s="370">
        <v>0</v>
      </c>
      <c r="K112" s="385" t="str">
        <f>IF(AND(I112&gt;0,J112&gt;0),I112-J112,"")</f>
        <v/>
      </c>
      <c r="L112" s="2"/>
      <c r="M112" s="20"/>
      <c r="N112" s="20"/>
      <c r="O112" s="20"/>
      <c r="P112" s="19"/>
      <c r="R112" s="20"/>
    </row>
    <row r="113" spans="1:36">
      <c r="A113" s="3"/>
      <c r="B113" s="731"/>
      <c r="C113" s="367" t="s">
        <v>312</v>
      </c>
      <c r="D113" s="468">
        <v>0</v>
      </c>
      <c r="E113" s="469">
        <f>IF(ISBLANK(D113),"",D113*30)</f>
        <v>0</v>
      </c>
      <c r="F113" s="334">
        <v>0</v>
      </c>
      <c r="G113" s="335" t="str">
        <f>IF(AND(E113&gt;0,F113&gt;0),(F113*E113),"")</f>
        <v/>
      </c>
      <c r="H113" s="334">
        <v>0</v>
      </c>
      <c r="I113" s="465" t="str">
        <f>IF(AND(G113&gt;0,H113&gt;0),H113/G113,"")</f>
        <v/>
      </c>
      <c r="J113" s="370">
        <v>0</v>
      </c>
      <c r="K113" s="385" t="str">
        <f>IF(AND(I113&gt;0,J113&gt;0),I113-J113,"")</f>
        <v/>
      </c>
      <c r="L113" s="2"/>
      <c r="M113" s="20"/>
      <c r="N113" s="20"/>
      <c r="O113" s="20"/>
      <c r="P113" s="19"/>
    </row>
    <row r="114" spans="1:36">
      <c r="A114" s="3"/>
      <c r="B114" s="731"/>
      <c r="C114" s="367"/>
      <c r="D114" s="368"/>
      <c r="E114" s="466" t="str">
        <f>IF(ISBLANK(D114),"",D114*30)</f>
        <v/>
      </c>
      <c r="F114" s="334"/>
      <c r="G114" s="335" t="str">
        <f>IF(AND(E114&gt;0,F114&gt;0),(F114*E114),"")</f>
        <v/>
      </c>
      <c r="H114" s="334"/>
      <c r="I114" s="465" t="str">
        <f>IF(AND(G114&gt;0,H114&gt;0),H114/G114,"")</f>
        <v/>
      </c>
      <c r="J114" s="370"/>
      <c r="K114" s="385" t="str">
        <f>IF(AND(I114&gt;0,J114&gt;0),I114-J114,"")</f>
        <v/>
      </c>
      <c r="L114" s="2"/>
      <c r="M114" s="20"/>
      <c r="N114" s="20"/>
      <c r="O114" s="20"/>
      <c r="P114" s="19"/>
      <c r="R114" s="20"/>
    </row>
    <row r="115" spans="1:36" ht="15.75" thickBot="1">
      <c r="A115" s="3"/>
      <c r="B115" s="732"/>
      <c r="C115" s="371"/>
      <c r="D115" s="372"/>
      <c r="E115" s="369" t="str">
        <f>IF(ISBLANK(D115),"",D115*4)</f>
        <v/>
      </c>
      <c r="F115" s="336"/>
      <c r="G115" s="335" t="str">
        <f>IF(AND(E115&gt;0,F115&gt;0),(F115*E115),"")</f>
        <v/>
      </c>
      <c r="H115" s="336"/>
      <c r="I115" s="384" t="str">
        <f>IF(AND(G115&gt;0,H115&gt;0),H115/G115,"")</f>
        <v/>
      </c>
      <c r="J115" s="373"/>
      <c r="K115" s="385" t="str">
        <f>IF(AND(I115&gt;0,J115&gt;0),I115-J115,"")</f>
        <v/>
      </c>
      <c r="L115" s="2"/>
      <c r="M115" s="20"/>
      <c r="N115" s="20"/>
      <c r="O115" s="20"/>
      <c r="P115" s="19"/>
      <c r="R115" s="20"/>
    </row>
    <row r="116" spans="1:36">
      <c r="A116" s="3"/>
      <c r="B116" s="3"/>
      <c r="C116" s="3"/>
      <c r="D116" s="3"/>
      <c r="E116" s="3"/>
      <c r="F116" s="3"/>
      <c r="G116" s="2"/>
      <c r="H116" s="2"/>
      <c r="I116" s="2"/>
      <c r="J116" s="3"/>
      <c r="K116" s="3"/>
      <c r="L116" s="2"/>
      <c r="M116" s="2"/>
      <c r="N116" s="20"/>
      <c r="O116" s="20"/>
      <c r="P116" s="20"/>
      <c r="Q116" s="19"/>
      <c r="S116" s="20"/>
    </row>
    <row r="117" spans="1:36" ht="15.75" thickBot="1">
      <c r="A117" s="3"/>
      <c r="B117" s="3"/>
      <c r="C117" s="3"/>
      <c r="D117" s="3"/>
      <c r="E117" s="3"/>
      <c r="F117" s="3"/>
      <c r="G117" s="3"/>
      <c r="H117" s="3"/>
      <c r="I117" s="2"/>
      <c r="J117" s="108"/>
      <c r="K117" s="108"/>
      <c r="L117" s="3"/>
      <c r="M117" s="3"/>
    </row>
    <row r="118" spans="1:36" ht="19.5" thickBot="1">
      <c r="A118" s="3"/>
      <c r="B118" s="235" t="s">
        <v>372</v>
      </c>
      <c r="C118" s="128"/>
      <c r="D118" s="128"/>
      <c r="E118" s="129"/>
      <c r="F118" s="129"/>
      <c r="G118" s="129"/>
      <c r="H118" s="244"/>
      <c r="I118" s="236"/>
      <c r="J118" s="314"/>
      <c r="K118" s="315" t="s">
        <v>353</v>
      </c>
      <c r="L118" s="129"/>
      <c r="M118" s="316"/>
      <c r="N118" s="317"/>
      <c r="O118" s="317"/>
      <c r="P118" s="375"/>
      <c r="Q118" s="36"/>
    </row>
    <row r="119" spans="1:36" s="530" customFormat="1" ht="15.75" thickBot="1">
      <c r="A119" s="529"/>
      <c r="B119" s="529"/>
      <c r="C119" s="529"/>
      <c r="D119" s="529"/>
      <c r="E119" s="529"/>
      <c r="F119" s="529"/>
      <c r="G119" s="529"/>
      <c r="H119" s="529" t="s">
        <v>493</v>
      </c>
      <c r="I119" s="529" t="s">
        <v>462</v>
      </c>
      <c r="J119" s="529" t="s">
        <v>463</v>
      </c>
      <c r="K119" s="529" t="s">
        <v>464</v>
      </c>
      <c r="L119" s="529" t="s">
        <v>465</v>
      </c>
      <c r="M119" s="529" t="s">
        <v>466</v>
      </c>
      <c r="N119" s="529" t="s">
        <v>467</v>
      </c>
      <c r="O119" s="529" t="s">
        <v>468</v>
      </c>
      <c r="P119" s="529" t="s">
        <v>479</v>
      </c>
      <c r="Q119" s="529" t="s">
        <v>480</v>
      </c>
      <c r="R119" s="529" t="s">
        <v>481</v>
      </c>
      <c r="S119" s="529" t="s">
        <v>482</v>
      </c>
      <c r="AH119" s="531"/>
      <c r="AI119" s="531"/>
      <c r="AJ119" s="531"/>
    </row>
    <row r="120" spans="1:36">
      <c r="A120" s="3"/>
      <c r="B120" s="712" t="s">
        <v>375</v>
      </c>
      <c r="C120" s="713"/>
      <c r="D120" s="714"/>
      <c r="E120" s="300" t="s">
        <v>324</v>
      </c>
      <c r="F120" s="261" t="s">
        <v>333</v>
      </c>
      <c r="G120" s="239"/>
      <c r="H120" s="458" t="str">
        <f>C30</f>
        <v>P1</v>
      </c>
      <c r="I120" s="458" t="str">
        <f t="shared" ref="I120:S120" si="13">D30</f>
        <v>P2</v>
      </c>
      <c r="J120" s="458" t="str">
        <f t="shared" si="13"/>
        <v>P3</v>
      </c>
      <c r="K120" s="458" t="str">
        <f t="shared" si="13"/>
        <v>P4</v>
      </c>
      <c r="L120" s="458" t="str">
        <f t="shared" si="13"/>
        <v>P5</v>
      </c>
      <c r="M120" s="458" t="str">
        <f t="shared" si="13"/>
        <v>P6</v>
      </c>
      <c r="N120" s="458" t="str">
        <f t="shared" si="13"/>
        <v>P7</v>
      </c>
      <c r="O120" s="458" t="str">
        <f t="shared" si="13"/>
        <v>P8</v>
      </c>
      <c r="P120" s="458" t="str">
        <f t="shared" si="13"/>
        <v>P9</v>
      </c>
      <c r="Q120" s="458" t="str">
        <f t="shared" si="13"/>
        <v>P10</v>
      </c>
      <c r="R120" s="458" t="str">
        <f t="shared" si="13"/>
        <v>P11</v>
      </c>
      <c r="S120" s="458" t="str">
        <f t="shared" si="13"/>
        <v>P12</v>
      </c>
      <c r="T120" s="64"/>
    </row>
    <row r="121" spans="1:36" ht="3" customHeight="1">
      <c r="A121" s="3"/>
      <c r="B121" s="401"/>
      <c r="C121" s="402"/>
      <c r="D121" s="402"/>
      <c r="E121" s="403"/>
      <c r="F121" s="404"/>
      <c r="G121" s="405"/>
      <c r="H121" s="406"/>
      <c r="I121" s="406"/>
      <c r="J121" s="406"/>
      <c r="K121" s="406"/>
      <c r="L121" s="406"/>
      <c r="M121" s="406"/>
      <c r="N121" s="406"/>
      <c r="O121" s="406"/>
      <c r="P121" s="406"/>
      <c r="Q121" s="406"/>
      <c r="R121" s="406"/>
      <c r="S121" s="407"/>
      <c r="T121" s="64"/>
    </row>
    <row r="122" spans="1:36" ht="15" customHeight="1">
      <c r="A122" s="676" t="s">
        <v>357</v>
      </c>
      <c r="B122" s="680" t="s">
        <v>494</v>
      </c>
      <c r="C122" s="681"/>
      <c r="D122" s="682"/>
      <c r="E122" s="689" t="s">
        <v>448</v>
      </c>
      <c r="F122" s="687" t="s">
        <v>425</v>
      </c>
      <c r="G122" s="241" t="s">
        <v>92</v>
      </c>
      <c r="H122" s="237"/>
      <c r="I122" s="237">
        <v>871071</v>
      </c>
      <c r="J122" s="237">
        <v>0</v>
      </c>
      <c r="K122" s="237">
        <v>0</v>
      </c>
      <c r="L122" s="237"/>
      <c r="M122" s="237"/>
      <c r="N122" s="237"/>
      <c r="O122" s="237"/>
      <c r="P122" s="237"/>
      <c r="Q122" s="237"/>
      <c r="R122" s="237"/>
      <c r="S122" s="237"/>
      <c r="T122" s="439" t="str">
        <f t="shared" ref="T122:T141" si="14">G122</f>
        <v>Target</v>
      </c>
    </row>
    <row r="123" spans="1:36">
      <c r="A123" s="676"/>
      <c r="B123" s="683"/>
      <c r="C123" s="681"/>
      <c r="D123" s="682"/>
      <c r="E123" s="690"/>
      <c r="F123" s="688"/>
      <c r="G123" s="241" t="s">
        <v>93</v>
      </c>
      <c r="H123" s="237"/>
      <c r="I123" s="237">
        <v>771553</v>
      </c>
      <c r="J123" s="237">
        <v>0</v>
      </c>
      <c r="K123" s="237">
        <v>0</v>
      </c>
      <c r="L123" s="237"/>
      <c r="M123" s="237"/>
      <c r="N123" s="237"/>
      <c r="O123" s="237"/>
      <c r="P123" s="237"/>
      <c r="Q123" s="237"/>
      <c r="R123" s="237"/>
      <c r="S123" s="237"/>
      <c r="T123" s="439" t="str">
        <f t="shared" si="14"/>
        <v xml:space="preserve">Achieved </v>
      </c>
    </row>
    <row r="124" spans="1:36" ht="15" customHeight="1">
      <c r="A124" s="676"/>
      <c r="B124" s="697" t="s">
        <v>500</v>
      </c>
      <c r="C124" s="698"/>
      <c r="D124" s="699"/>
      <c r="E124" s="734">
        <v>1.2</v>
      </c>
      <c r="F124" s="733" t="s">
        <v>425</v>
      </c>
      <c r="G124" s="241" t="s">
        <v>92</v>
      </c>
      <c r="H124" s="459"/>
      <c r="I124" s="459">
        <v>809876</v>
      </c>
      <c r="J124" s="459">
        <v>0</v>
      </c>
      <c r="K124" s="459">
        <v>0</v>
      </c>
      <c r="L124" s="459"/>
      <c r="M124" s="459"/>
      <c r="N124" s="459"/>
      <c r="O124" s="459"/>
      <c r="P124" s="459"/>
      <c r="Q124" s="459"/>
      <c r="R124" s="459"/>
      <c r="S124" s="237"/>
      <c r="T124" s="440" t="str">
        <f t="shared" si="14"/>
        <v>Target</v>
      </c>
    </row>
    <row r="125" spans="1:36">
      <c r="A125" s="676"/>
      <c r="B125" s="700"/>
      <c r="C125" s="698"/>
      <c r="D125" s="699"/>
      <c r="E125" s="734"/>
      <c r="F125" s="733"/>
      <c r="G125" s="241" t="s">
        <v>93</v>
      </c>
      <c r="H125" s="459"/>
      <c r="I125" s="459">
        <v>788516</v>
      </c>
      <c r="J125" s="459">
        <v>0</v>
      </c>
      <c r="K125" s="459">
        <v>0</v>
      </c>
      <c r="L125" s="459"/>
      <c r="M125" s="459"/>
      <c r="N125" s="459"/>
      <c r="O125" s="459"/>
      <c r="P125" s="459"/>
      <c r="Q125" s="459"/>
      <c r="R125" s="459"/>
      <c r="S125" s="237"/>
      <c r="T125" s="440" t="str">
        <f t="shared" si="14"/>
        <v xml:space="preserve">Achieved </v>
      </c>
    </row>
    <row r="126" spans="1:36" ht="15" customHeight="1">
      <c r="A126" s="676"/>
      <c r="B126" s="691"/>
      <c r="C126" s="692"/>
      <c r="D126" s="693"/>
      <c r="E126" s="689"/>
      <c r="F126" s="687"/>
      <c r="G126" s="241"/>
      <c r="H126" s="237"/>
      <c r="I126" s="237"/>
      <c r="J126" s="237"/>
      <c r="K126" s="237"/>
      <c r="L126" s="237"/>
      <c r="M126" s="237"/>
      <c r="N126" s="237"/>
      <c r="O126" s="237"/>
      <c r="P126" s="237"/>
      <c r="Q126" s="237"/>
      <c r="R126" s="237"/>
      <c r="S126" s="237"/>
      <c r="T126" s="439">
        <f t="shared" si="14"/>
        <v>0</v>
      </c>
    </row>
    <row r="127" spans="1:36">
      <c r="A127" s="676"/>
      <c r="B127" s="694"/>
      <c r="C127" s="692"/>
      <c r="D127" s="693"/>
      <c r="E127" s="690"/>
      <c r="F127" s="688"/>
      <c r="G127" s="241"/>
      <c r="H127" s="237"/>
      <c r="I127" s="237"/>
      <c r="J127" s="237"/>
      <c r="K127" s="237"/>
      <c r="L127" s="237"/>
      <c r="M127" s="237"/>
      <c r="N127" s="237"/>
      <c r="O127" s="237"/>
      <c r="P127" s="237"/>
      <c r="Q127" s="237"/>
      <c r="R127" s="237"/>
      <c r="S127" s="237"/>
      <c r="T127" s="439">
        <f t="shared" si="14"/>
        <v>0</v>
      </c>
    </row>
    <row r="128" spans="1:36" ht="15" customHeight="1">
      <c r="A128" s="3"/>
      <c r="B128" s="697"/>
      <c r="C128" s="698"/>
      <c r="D128" s="699"/>
      <c r="E128" s="734"/>
      <c r="F128" s="733"/>
      <c r="G128" s="240"/>
      <c r="H128" s="459"/>
      <c r="I128" s="459"/>
      <c r="J128" s="459"/>
      <c r="K128" s="459"/>
      <c r="L128" s="459"/>
      <c r="M128" s="459"/>
      <c r="N128" s="459"/>
      <c r="O128" s="459"/>
      <c r="P128" s="459"/>
      <c r="Q128" s="459"/>
      <c r="R128" s="459"/>
      <c r="S128" s="459"/>
      <c r="T128" s="440">
        <f t="shared" si="14"/>
        <v>0</v>
      </c>
    </row>
    <row r="129" spans="1:20">
      <c r="A129" s="3"/>
      <c r="B129" s="700"/>
      <c r="C129" s="698"/>
      <c r="D129" s="699"/>
      <c r="E129" s="734"/>
      <c r="F129" s="733"/>
      <c r="G129" s="240"/>
      <c r="H129" s="459"/>
      <c r="I129" s="459"/>
      <c r="J129" s="459"/>
      <c r="K129" s="459"/>
      <c r="L129" s="459"/>
      <c r="M129" s="459"/>
      <c r="N129" s="459"/>
      <c r="O129" s="459"/>
      <c r="P129" s="459"/>
      <c r="Q129" s="459"/>
      <c r="R129" s="459"/>
      <c r="S129" s="459"/>
      <c r="T129" s="440">
        <f t="shared" si="14"/>
        <v>0</v>
      </c>
    </row>
    <row r="130" spans="1:20" ht="15" customHeight="1">
      <c r="A130" s="3"/>
      <c r="B130" s="680"/>
      <c r="C130" s="681"/>
      <c r="D130" s="682"/>
      <c r="E130" s="689"/>
      <c r="F130" s="687"/>
      <c r="G130" s="241"/>
      <c r="H130" s="520"/>
      <c r="I130" s="520"/>
      <c r="J130" s="520"/>
      <c r="K130" s="237"/>
      <c r="L130" s="522"/>
      <c r="M130" s="237"/>
      <c r="N130" s="467"/>
      <c r="O130" s="467"/>
      <c r="P130" s="467"/>
      <c r="Q130" s="237"/>
      <c r="R130" s="237"/>
      <c r="S130" s="298"/>
      <c r="T130" s="439">
        <f t="shared" si="14"/>
        <v>0</v>
      </c>
    </row>
    <row r="131" spans="1:20">
      <c r="A131" s="3"/>
      <c r="B131" s="683"/>
      <c r="C131" s="681"/>
      <c r="D131" s="682"/>
      <c r="E131" s="690"/>
      <c r="F131" s="688"/>
      <c r="G131" s="241"/>
      <c r="H131" s="520"/>
      <c r="I131" s="520"/>
      <c r="J131" s="520"/>
      <c r="K131" s="237"/>
      <c r="L131" s="522"/>
      <c r="M131" s="237"/>
      <c r="N131" s="467"/>
      <c r="O131" s="467"/>
      <c r="P131" s="467"/>
      <c r="Q131" s="237"/>
      <c r="R131" s="237"/>
      <c r="S131" s="298"/>
      <c r="T131" s="439">
        <f t="shared" si="14"/>
        <v>0</v>
      </c>
    </row>
    <row r="132" spans="1:20" ht="15" customHeight="1">
      <c r="A132" s="3"/>
      <c r="B132" s="697"/>
      <c r="C132" s="698"/>
      <c r="D132" s="699"/>
      <c r="E132" s="734"/>
      <c r="F132" s="733"/>
      <c r="G132" s="240"/>
      <c r="H132" s="459"/>
      <c r="I132" s="459"/>
      <c r="J132" s="459"/>
      <c r="K132" s="459"/>
      <c r="L132" s="459"/>
      <c r="M132" s="459"/>
      <c r="N132" s="459"/>
      <c r="O132" s="459"/>
      <c r="P132" s="459"/>
      <c r="Q132" s="459"/>
      <c r="R132" s="459"/>
      <c r="S132" s="459"/>
      <c r="T132" s="440">
        <f t="shared" si="14"/>
        <v>0</v>
      </c>
    </row>
    <row r="133" spans="1:20">
      <c r="A133" s="3"/>
      <c r="B133" s="700"/>
      <c r="C133" s="698"/>
      <c r="D133" s="699"/>
      <c r="E133" s="734"/>
      <c r="F133" s="733"/>
      <c r="G133" s="240"/>
      <c r="H133" s="459"/>
      <c r="I133" s="459"/>
      <c r="J133" s="459"/>
      <c r="K133" s="459"/>
      <c r="L133" s="459"/>
      <c r="M133" s="459"/>
      <c r="N133" s="459"/>
      <c r="O133" s="459"/>
      <c r="P133" s="459"/>
      <c r="Q133" s="459"/>
      <c r="R133" s="459"/>
      <c r="S133" s="459"/>
      <c r="T133" s="440">
        <f t="shared" si="14"/>
        <v>0</v>
      </c>
    </row>
    <row r="134" spans="1:20">
      <c r="A134" s="3"/>
      <c r="B134" s="680"/>
      <c r="C134" s="681"/>
      <c r="D134" s="682"/>
      <c r="E134" s="689"/>
      <c r="F134" s="687"/>
      <c r="G134" s="241"/>
      <c r="H134" s="237"/>
      <c r="I134" s="237"/>
      <c r="J134" s="237"/>
      <c r="K134" s="257"/>
      <c r="L134" s="237"/>
      <c r="M134" s="237"/>
      <c r="N134" s="237"/>
      <c r="O134" s="237"/>
      <c r="P134" s="237"/>
      <c r="Q134" s="237"/>
      <c r="R134" s="237"/>
      <c r="S134" s="298"/>
      <c r="T134" s="439">
        <f t="shared" si="14"/>
        <v>0</v>
      </c>
    </row>
    <row r="135" spans="1:20">
      <c r="A135" s="3"/>
      <c r="B135" s="683"/>
      <c r="C135" s="681"/>
      <c r="D135" s="682"/>
      <c r="E135" s="690"/>
      <c r="F135" s="688"/>
      <c r="G135" s="241"/>
      <c r="H135" s="237"/>
      <c r="I135" s="237"/>
      <c r="J135" s="237"/>
      <c r="K135" s="257"/>
      <c r="L135" s="237"/>
      <c r="M135" s="237"/>
      <c r="N135" s="237"/>
      <c r="O135" s="237"/>
      <c r="P135" s="237"/>
      <c r="Q135" s="237"/>
      <c r="R135" s="237"/>
      <c r="S135" s="298"/>
      <c r="T135" s="439">
        <f t="shared" si="14"/>
        <v>0</v>
      </c>
    </row>
    <row r="136" spans="1:20" ht="14.25" customHeight="1">
      <c r="A136" s="3"/>
      <c r="B136" s="697"/>
      <c r="C136" s="698"/>
      <c r="D136" s="699"/>
      <c r="E136" s="734"/>
      <c r="F136" s="725"/>
      <c r="G136" s="240"/>
      <c r="H136" s="459"/>
      <c r="I136" s="459"/>
      <c r="J136" s="459"/>
      <c r="K136" s="459"/>
      <c r="L136" s="459"/>
      <c r="M136" s="459"/>
      <c r="N136" s="459"/>
      <c r="O136" s="459"/>
      <c r="P136" s="459"/>
      <c r="Q136" s="459"/>
      <c r="R136" s="459"/>
      <c r="S136" s="459"/>
      <c r="T136" s="440">
        <f t="shared" si="14"/>
        <v>0</v>
      </c>
    </row>
    <row r="137" spans="1:20">
      <c r="A137" s="3"/>
      <c r="B137" s="700"/>
      <c r="C137" s="698"/>
      <c r="D137" s="699"/>
      <c r="E137" s="734"/>
      <c r="F137" s="725"/>
      <c r="G137" s="240"/>
      <c r="H137" s="459"/>
      <c r="I137" s="459"/>
      <c r="J137" s="459"/>
      <c r="K137" s="459"/>
      <c r="L137" s="459"/>
      <c r="M137" s="459"/>
      <c r="N137" s="459"/>
      <c r="O137" s="459"/>
      <c r="P137" s="459"/>
      <c r="Q137" s="459"/>
      <c r="R137" s="459"/>
      <c r="S137" s="459"/>
      <c r="T137" s="440">
        <f t="shared" si="14"/>
        <v>0</v>
      </c>
    </row>
    <row r="138" spans="1:20" ht="14.25" customHeight="1">
      <c r="A138" s="3"/>
      <c r="B138" s="680"/>
      <c r="C138" s="681"/>
      <c r="D138" s="682"/>
      <c r="E138" s="689"/>
      <c r="F138" s="739"/>
      <c r="G138" s="241"/>
      <c r="H138" s="237"/>
      <c r="I138" s="237"/>
      <c r="J138" s="237"/>
      <c r="K138" s="237"/>
      <c r="L138" s="237"/>
      <c r="M138" s="237"/>
      <c r="N138" s="237"/>
      <c r="O138" s="237"/>
      <c r="P138" s="237"/>
      <c r="Q138" s="237"/>
      <c r="R138" s="237"/>
      <c r="S138" s="298"/>
      <c r="T138" s="439">
        <f t="shared" si="14"/>
        <v>0</v>
      </c>
    </row>
    <row r="139" spans="1:20">
      <c r="A139" s="3"/>
      <c r="B139" s="683"/>
      <c r="C139" s="681"/>
      <c r="D139" s="682"/>
      <c r="E139" s="690"/>
      <c r="F139" s="740"/>
      <c r="G139" s="241"/>
      <c r="H139" s="237"/>
      <c r="I139" s="237"/>
      <c r="J139" s="237"/>
      <c r="K139" s="237"/>
      <c r="L139" s="237"/>
      <c r="M139" s="237"/>
      <c r="N139" s="237"/>
      <c r="O139" s="237"/>
      <c r="P139" s="237"/>
      <c r="Q139" s="237"/>
      <c r="R139" s="237"/>
      <c r="S139" s="298"/>
      <c r="T139" s="439">
        <f t="shared" si="14"/>
        <v>0</v>
      </c>
    </row>
    <row r="140" spans="1:20" ht="14.25" customHeight="1">
      <c r="A140" s="3"/>
      <c r="B140" s="700"/>
      <c r="C140" s="698"/>
      <c r="D140" s="699"/>
      <c r="E140" s="734"/>
      <c r="F140" s="725"/>
      <c r="G140" s="240"/>
      <c r="H140" s="459"/>
      <c r="I140" s="459"/>
      <c r="J140" s="459"/>
      <c r="K140" s="459"/>
      <c r="L140" s="459"/>
      <c r="M140" s="459"/>
      <c r="N140" s="459"/>
      <c r="O140" s="459"/>
      <c r="P140" s="459"/>
      <c r="Q140" s="459"/>
      <c r="R140" s="459"/>
      <c r="S140" s="459"/>
      <c r="T140" s="440">
        <f t="shared" si="14"/>
        <v>0</v>
      </c>
    </row>
    <row r="141" spans="1:20" ht="15.75" thickBot="1">
      <c r="A141" s="3"/>
      <c r="B141" s="749"/>
      <c r="C141" s="750"/>
      <c r="D141" s="751"/>
      <c r="E141" s="741"/>
      <c r="F141" s="742"/>
      <c r="G141" s="299"/>
      <c r="H141" s="459"/>
      <c r="I141" s="459"/>
      <c r="J141" s="459"/>
      <c r="K141" s="459"/>
      <c r="L141" s="459"/>
      <c r="M141" s="459"/>
      <c r="N141" s="459"/>
      <c r="O141" s="459"/>
      <c r="P141" s="459"/>
      <c r="Q141" s="459"/>
      <c r="R141" s="459"/>
      <c r="S141" s="459"/>
      <c r="T141" s="440">
        <f t="shared" si="14"/>
        <v>0</v>
      </c>
    </row>
    <row r="142" spans="1:20">
      <c r="A142" s="3"/>
      <c r="B142" s="3"/>
      <c r="C142" s="3"/>
      <c r="D142" s="3"/>
      <c r="E142" s="3"/>
      <c r="F142" s="3"/>
      <c r="G142" s="2"/>
      <c r="H142" s="3"/>
      <c r="I142" s="3"/>
      <c r="J142" s="3"/>
      <c r="K142" s="3"/>
      <c r="L142" s="3"/>
      <c r="M142" s="3"/>
      <c r="N142" s="3"/>
      <c r="O142" s="3"/>
      <c r="R142" s="36"/>
      <c r="S142" s="36"/>
    </row>
    <row r="143" spans="1:20">
      <c r="A143" s="3"/>
      <c r="B143" s="3"/>
      <c r="C143" s="3"/>
      <c r="D143" s="3"/>
      <c r="E143" s="3"/>
      <c r="F143" s="3"/>
      <c r="G143" s="2"/>
      <c r="H143" s="3"/>
      <c r="I143" s="3"/>
      <c r="J143" s="3"/>
      <c r="K143" s="3"/>
      <c r="L143" s="3"/>
      <c r="M143" s="3"/>
      <c r="N143" s="3"/>
      <c r="O143" s="3"/>
      <c r="R143" s="36"/>
      <c r="S143" s="36"/>
    </row>
    <row r="144" spans="1:20">
      <c r="A144" s="3"/>
      <c r="B144" s="3"/>
      <c r="C144" s="3"/>
      <c r="D144" s="3"/>
      <c r="E144" s="3"/>
      <c r="F144" s="3"/>
      <c r="G144" s="2"/>
      <c r="H144" s="3"/>
      <c r="I144" s="3"/>
      <c r="J144" s="3"/>
      <c r="K144" s="3"/>
      <c r="L144" s="3"/>
      <c r="M144" s="3"/>
      <c r="N144" s="3"/>
      <c r="O144" s="3"/>
      <c r="R144" s="36"/>
      <c r="S144" s="36"/>
    </row>
    <row r="145" spans="1:21" ht="16.5" thickBot="1">
      <c r="A145" s="3"/>
      <c r="B145" s="302"/>
      <c r="C145" s="3"/>
      <c r="D145" s="3"/>
      <c r="E145" s="3"/>
      <c r="F145" s="3"/>
      <c r="G145" s="2"/>
      <c r="H145" s="3"/>
      <c r="I145" s="3"/>
      <c r="J145" s="3"/>
      <c r="K145" s="3"/>
      <c r="L145" s="3"/>
      <c r="M145" s="3"/>
      <c r="N145" s="3"/>
      <c r="O145" s="3"/>
      <c r="R145" s="36"/>
      <c r="S145" s="36"/>
    </row>
    <row r="146" spans="1:21">
      <c r="A146" s="3"/>
      <c r="B146" s="3" t="s">
        <v>381</v>
      </c>
      <c r="C146" s="3"/>
      <c r="D146" s="3"/>
      <c r="E146" s="300" t="s">
        <v>324</v>
      </c>
      <c r="F146" s="261" t="s">
        <v>333</v>
      </c>
      <c r="G146" s="239"/>
      <c r="H146" s="358" t="str">
        <f t="shared" ref="H146:S146" si="15">C30</f>
        <v>P1</v>
      </c>
      <c r="I146" s="358" t="str">
        <f t="shared" si="15"/>
        <v>P2</v>
      </c>
      <c r="J146" s="358" t="str">
        <f t="shared" si="15"/>
        <v>P3</v>
      </c>
      <c r="K146" s="358" t="str">
        <f t="shared" si="15"/>
        <v>P4</v>
      </c>
      <c r="L146" s="358" t="str">
        <f t="shared" si="15"/>
        <v>P5</v>
      </c>
      <c r="M146" s="358" t="str">
        <f t="shared" si="15"/>
        <v>P6</v>
      </c>
      <c r="N146" s="358" t="str">
        <f t="shared" si="15"/>
        <v>P7</v>
      </c>
      <c r="O146" s="358" t="str">
        <f t="shared" si="15"/>
        <v>P8</v>
      </c>
      <c r="P146" s="358" t="str">
        <f t="shared" si="15"/>
        <v>P9</v>
      </c>
      <c r="Q146" s="358" t="str">
        <f t="shared" si="15"/>
        <v>P10</v>
      </c>
      <c r="R146" s="358" t="str">
        <f t="shared" si="15"/>
        <v>P11</v>
      </c>
      <c r="S146" s="358" t="str">
        <f t="shared" si="15"/>
        <v>P12</v>
      </c>
      <c r="T146" s="36"/>
      <c r="U146" s="36"/>
    </row>
    <row r="147" spans="1:21">
      <c r="A147" s="3"/>
      <c r="B147" s="743" t="str">
        <f>IF(ISBLANK(B122),"",(B122))</f>
        <v>Percentage of population in targeted areas sprayed with IRS in the last 12 months</v>
      </c>
      <c r="C147" s="744"/>
      <c r="D147" s="745"/>
      <c r="E147" s="738" t="str">
        <f>IF(ISBLANK(E122),"",(E122))</f>
        <v>1.1</v>
      </c>
      <c r="F147" s="737" t="str">
        <f>IF(ISBLANK(F122),"",(F122))</f>
        <v>YES</v>
      </c>
      <c r="G147" s="323" t="s">
        <v>92</v>
      </c>
      <c r="H147" s="382">
        <f t="shared" ref="H147:S147" si="16">H122</f>
        <v>0</v>
      </c>
      <c r="I147" s="382">
        <f t="shared" si="16"/>
        <v>871071</v>
      </c>
      <c r="J147" s="382">
        <f t="shared" si="16"/>
        <v>0</v>
      </c>
      <c r="K147" s="382">
        <f t="shared" si="16"/>
        <v>0</v>
      </c>
      <c r="L147" s="382">
        <f t="shared" si="16"/>
        <v>0</v>
      </c>
      <c r="M147" s="382">
        <f t="shared" si="16"/>
        <v>0</v>
      </c>
      <c r="N147" s="382">
        <f t="shared" ref="N147:O152" si="17">N122</f>
        <v>0</v>
      </c>
      <c r="O147" s="382">
        <f t="shared" si="17"/>
        <v>0</v>
      </c>
      <c r="P147" s="382">
        <f t="shared" si="16"/>
        <v>0</v>
      </c>
      <c r="Q147" s="382">
        <f t="shared" si="16"/>
        <v>0</v>
      </c>
      <c r="R147" s="382">
        <f t="shared" si="16"/>
        <v>0</v>
      </c>
      <c r="S147" s="382">
        <f t="shared" si="16"/>
        <v>0</v>
      </c>
      <c r="T147" s="36"/>
      <c r="U147" s="36"/>
    </row>
    <row r="148" spans="1:21" ht="15.75" thickBot="1">
      <c r="A148" s="3"/>
      <c r="B148" s="746"/>
      <c r="C148" s="747"/>
      <c r="D148" s="748"/>
      <c r="E148" s="738"/>
      <c r="F148" s="737"/>
      <c r="G148" s="130" t="s">
        <v>93</v>
      </c>
      <c r="H148" s="382">
        <f t="shared" ref="H148:K152" si="18">H123</f>
        <v>0</v>
      </c>
      <c r="I148" s="382">
        <f t="shared" si="18"/>
        <v>771553</v>
      </c>
      <c r="J148" s="382">
        <f t="shared" si="18"/>
        <v>0</v>
      </c>
      <c r="K148" s="382">
        <f t="shared" si="18"/>
        <v>0</v>
      </c>
      <c r="L148" s="382">
        <f t="shared" ref="L148:S148" si="19">L123</f>
        <v>0</v>
      </c>
      <c r="M148" s="382">
        <f t="shared" si="19"/>
        <v>0</v>
      </c>
      <c r="N148" s="382">
        <f t="shared" si="17"/>
        <v>0</v>
      </c>
      <c r="O148" s="382">
        <f t="shared" si="17"/>
        <v>0</v>
      </c>
      <c r="P148" s="382">
        <f t="shared" si="19"/>
        <v>0</v>
      </c>
      <c r="Q148" s="382">
        <f t="shared" si="19"/>
        <v>0</v>
      </c>
      <c r="R148" s="382">
        <f t="shared" si="19"/>
        <v>0</v>
      </c>
      <c r="S148" s="382">
        <f t="shared" si="19"/>
        <v>0</v>
      </c>
      <c r="T148" s="36"/>
      <c r="U148" s="36"/>
    </row>
    <row r="149" spans="1:21">
      <c r="A149" s="3"/>
      <c r="B149" s="743" t="str">
        <f>IF(ISBLANK(B124),"",(B124))</f>
        <v>Number of structures sprayed in targeted areas with IRS in the last 12 months</v>
      </c>
      <c r="C149" s="744"/>
      <c r="D149" s="745"/>
      <c r="E149" s="738">
        <f>IF(ISBLANK(E124),"",(E124))</f>
        <v>1.2</v>
      </c>
      <c r="F149" s="737" t="str">
        <f>IF(ISBLANK(F124),"",(F124))</f>
        <v>YES</v>
      </c>
      <c r="G149" s="238" t="s">
        <v>92</v>
      </c>
      <c r="H149" s="382">
        <f t="shared" si="18"/>
        <v>0</v>
      </c>
      <c r="I149" s="382">
        <f>I124</f>
        <v>809876</v>
      </c>
      <c r="J149" s="382">
        <f t="shared" si="18"/>
        <v>0</v>
      </c>
      <c r="K149" s="382">
        <f>K124</f>
        <v>0</v>
      </c>
      <c r="L149" s="382">
        <f t="shared" ref="L149:S149" si="20">L124</f>
        <v>0</v>
      </c>
      <c r="M149" s="382">
        <f t="shared" si="20"/>
        <v>0</v>
      </c>
      <c r="N149" s="382">
        <f t="shared" si="17"/>
        <v>0</v>
      </c>
      <c r="O149" s="382">
        <f t="shared" si="17"/>
        <v>0</v>
      </c>
      <c r="P149" s="382">
        <f t="shared" si="20"/>
        <v>0</v>
      </c>
      <c r="Q149" s="382">
        <f t="shared" si="20"/>
        <v>0</v>
      </c>
      <c r="R149" s="382">
        <f t="shared" si="20"/>
        <v>0</v>
      </c>
      <c r="S149" s="382">
        <f t="shared" si="20"/>
        <v>0</v>
      </c>
      <c r="T149" s="36"/>
      <c r="U149" s="36"/>
    </row>
    <row r="150" spans="1:21" ht="15.75" thickBot="1">
      <c r="A150" s="3"/>
      <c r="B150" s="746"/>
      <c r="C150" s="747"/>
      <c r="D150" s="748"/>
      <c r="E150" s="738"/>
      <c r="F150" s="737"/>
      <c r="G150" s="238" t="s">
        <v>93</v>
      </c>
      <c r="H150" s="382">
        <f t="shared" si="18"/>
        <v>0</v>
      </c>
      <c r="I150" s="382">
        <f t="shared" si="18"/>
        <v>788516</v>
      </c>
      <c r="J150" s="382">
        <f t="shared" si="18"/>
        <v>0</v>
      </c>
      <c r="K150" s="382">
        <f t="shared" si="18"/>
        <v>0</v>
      </c>
      <c r="L150" s="382">
        <f t="shared" ref="L150:S150" si="21">L125</f>
        <v>0</v>
      </c>
      <c r="M150" s="382">
        <f t="shared" si="21"/>
        <v>0</v>
      </c>
      <c r="N150" s="382">
        <f t="shared" si="17"/>
        <v>0</v>
      </c>
      <c r="O150" s="382">
        <f t="shared" si="17"/>
        <v>0</v>
      </c>
      <c r="P150" s="382">
        <f t="shared" si="21"/>
        <v>0</v>
      </c>
      <c r="Q150" s="382">
        <f t="shared" si="21"/>
        <v>0</v>
      </c>
      <c r="R150" s="382">
        <f t="shared" si="21"/>
        <v>0</v>
      </c>
      <c r="S150" s="382">
        <f t="shared" si="21"/>
        <v>0</v>
      </c>
      <c r="T150" s="36"/>
      <c r="U150" s="36"/>
    </row>
    <row r="151" spans="1:21">
      <c r="A151" s="3"/>
      <c r="B151" s="743" t="str">
        <f>IF(ISBLANK(B126),"",(B126))</f>
        <v/>
      </c>
      <c r="C151" s="744"/>
      <c r="D151" s="745"/>
      <c r="E151" s="738" t="str">
        <f>IF(ISBLANK(E126),"",(E126))</f>
        <v/>
      </c>
      <c r="F151" s="737" t="str">
        <f>IF(ISBLANK(F126),"",(F126))</f>
        <v/>
      </c>
      <c r="G151" s="130" t="s">
        <v>92</v>
      </c>
      <c r="H151" s="382">
        <f t="shared" si="18"/>
        <v>0</v>
      </c>
      <c r="I151" s="382">
        <f t="shared" si="18"/>
        <v>0</v>
      </c>
      <c r="J151" s="382">
        <f t="shared" si="18"/>
        <v>0</v>
      </c>
      <c r="K151" s="382">
        <f t="shared" si="18"/>
        <v>0</v>
      </c>
      <c r="L151" s="382">
        <f t="shared" ref="L151:S151" si="22">L126</f>
        <v>0</v>
      </c>
      <c r="M151" s="382">
        <f t="shared" si="22"/>
        <v>0</v>
      </c>
      <c r="N151" s="382">
        <f t="shared" si="17"/>
        <v>0</v>
      </c>
      <c r="O151" s="382">
        <f t="shared" si="17"/>
        <v>0</v>
      </c>
      <c r="P151" s="382">
        <f t="shared" si="22"/>
        <v>0</v>
      </c>
      <c r="Q151" s="382">
        <f t="shared" si="22"/>
        <v>0</v>
      </c>
      <c r="R151" s="382">
        <f t="shared" si="22"/>
        <v>0</v>
      </c>
      <c r="S151" s="382">
        <f t="shared" si="22"/>
        <v>0</v>
      </c>
      <c r="T151" s="36"/>
      <c r="U151" s="36"/>
    </row>
    <row r="152" spans="1:21" ht="15.75" thickBot="1">
      <c r="A152" s="3"/>
      <c r="B152" s="746"/>
      <c r="C152" s="747"/>
      <c r="D152" s="748"/>
      <c r="E152" s="738"/>
      <c r="F152" s="737"/>
      <c r="G152" s="131" t="s">
        <v>93</v>
      </c>
      <c r="H152" s="383">
        <f t="shared" si="18"/>
        <v>0</v>
      </c>
      <c r="I152" s="383">
        <f t="shared" si="18"/>
        <v>0</v>
      </c>
      <c r="J152" s="383">
        <f t="shared" si="18"/>
        <v>0</v>
      </c>
      <c r="K152" s="383">
        <f t="shared" si="18"/>
        <v>0</v>
      </c>
      <c r="L152" s="382">
        <f t="shared" ref="L152:S152" si="23">L127</f>
        <v>0</v>
      </c>
      <c r="M152" s="382">
        <f t="shared" si="23"/>
        <v>0</v>
      </c>
      <c r="N152" s="382">
        <f t="shared" si="17"/>
        <v>0</v>
      </c>
      <c r="O152" s="382">
        <f t="shared" si="17"/>
        <v>0</v>
      </c>
      <c r="P152" s="382">
        <f t="shared" si="23"/>
        <v>0</v>
      </c>
      <c r="Q152" s="382">
        <f t="shared" si="23"/>
        <v>0</v>
      </c>
      <c r="R152" s="382">
        <f t="shared" si="23"/>
        <v>0</v>
      </c>
      <c r="S152" s="382">
        <f t="shared" si="23"/>
        <v>0</v>
      </c>
      <c r="T152" s="36"/>
      <c r="U152" s="36"/>
    </row>
    <row r="153" spans="1:21">
      <c r="A153" s="3"/>
      <c r="B153" s="3"/>
      <c r="C153" s="3"/>
      <c r="D153" s="3"/>
      <c r="E153" s="3"/>
      <c r="F153" s="3"/>
      <c r="G153" s="3"/>
      <c r="H153" s="3"/>
      <c r="I153" s="3"/>
      <c r="J153" s="3"/>
      <c r="K153" s="3"/>
      <c r="L153" s="3"/>
      <c r="M153" s="3"/>
      <c r="N153"/>
      <c r="O153"/>
      <c r="P153" s="36"/>
      <c r="Q153" s="36"/>
    </row>
    <row r="154" spans="1:21">
      <c r="N154"/>
      <c r="O154"/>
      <c r="P154" s="36"/>
      <c r="Q154" s="36"/>
    </row>
    <row r="155" spans="1:21">
      <c r="N155"/>
      <c r="O155"/>
      <c r="P155" s="36"/>
      <c r="Q155" s="36"/>
    </row>
    <row r="156" spans="1:21">
      <c r="N156"/>
      <c r="O156"/>
      <c r="P156" s="36"/>
      <c r="Q156" s="36"/>
    </row>
  </sheetData>
  <mergeCells count="73">
    <mergeCell ref="O31:O34"/>
    <mergeCell ref="E122:E123"/>
    <mergeCell ref="F122:F123"/>
    <mergeCell ref="F124:F125"/>
    <mergeCell ref="E124:E125"/>
    <mergeCell ref="F51:I51"/>
    <mergeCell ref="B151:D152"/>
    <mergeCell ref="B140:D141"/>
    <mergeCell ref="E149:E150"/>
    <mergeCell ref="E130:E131"/>
    <mergeCell ref="B130:D131"/>
    <mergeCell ref="E136:E137"/>
    <mergeCell ref="B147:D148"/>
    <mergeCell ref="B149:D150"/>
    <mergeCell ref="B136:D137"/>
    <mergeCell ref="B138:D139"/>
    <mergeCell ref="B132:D133"/>
    <mergeCell ref="B134:D135"/>
    <mergeCell ref="F149:F150"/>
    <mergeCell ref="E151:E152"/>
    <mergeCell ref="F151:F152"/>
    <mergeCell ref="E138:E139"/>
    <mergeCell ref="F138:F139"/>
    <mergeCell ref="E140:E141"/>
    <mergeCell ref="F140:F141"/>
    <mergeCell ref="E147:E148"/>
    <mergeCell ref="F147:F148"/>
    <mergeCell ref="B128:D129"/>
    <mergeCell ref="C12:D12"/>
    <mergeCell ref="D18:F18"/>
    <mergeCell ref="F136:F137"/>
    <mergeCell ref="F130:F131"/>
    <mergeCell ref="B75:C75"/>
    <mergeCell ref="B26:C26"/>
    <mergeCell ref="B112:B115"/>
    <mergeCell ref="F132:F133"/>
    <mergeCell ref="E134:E135"/>
    <mergeCell ref="F134:F135"/>
    <mergeCell ref="E128:E129"/>
    <mergeCell ref="E132:E133"/>
    <mergeCell ref="F128:F129"/>
    <mergeCell ref="B21:J21"/>
    <mergeCell ref="B76:C76"/>
    <mergeCell ref="I24:J24"/>
    <mergeCell ref="I6:J6"/>
    <mergeCell ref="B18:C18"/>
    <mergeCell ref="B120:D120"/>
    <mergeCell ref="G10:J10"/>
    <mergeCell ref="E10:F10"/>
    <mergeCell ref="D24:E24"/>
    <mergeCell ref="G24:H24"/>
    <mergeCell ref="I8:J8"/>
    <mergeCell ref="C10:D10"/>
    <mergeCell ref="E12:F12"/>
    <mergeCell ref="C8:D8"/>
    <mergeCell ref="B14:J14"/>
    <mergeCell ref="H16:I16"/>
    <mergeCell ref="G12:J12"/>
    <mergeCell ref="B2:J2"/>
    <mergeCell ref="C4:D4"/>
    <mergeCell ref="E4:F4"/>
    <mergeCell ref="G4:J4"/>
    <mergeCell ref="C6:D6"/>
    <mergeCell ref="E6:F6"/>
    <mergeCell ref="A122:A127"/>
    <mergeCell ref="B29:N29"/>
    <mergeCell ref="B122:D123"/>
    <mergeCell ref="B64:D64"/>
    <mergeCell ref="F126:F127"/>
    <mergeCell ref="E126:E127"/>
    <mergeCell ref="B126:D127"/>
    <mergeCell ref="B77:C77"/>
    <mergeCell ref="B124:D125"/>
  </mergeCells>
  <phoneticPr fontId="31" type="noConversion"/>
  <conditionalFormatting sqref="B34 B32 C33:N33 D32:H32">
    <cfRule type="expression" dxfId="52" priority="2" stopIfTrue="1">
      <formula>+AND(B31&gt;=#REF!,B31&lt;=#REF!)</formula>
    </cfRule>
  </conditionalFormatting>
  <conditionalFormatting sqref="C34:N34">
    <cfRule type="expression" dxfId="51" priority="3" stopIfTrue="1">
      <formula>+AND(C32&gt;=#REF!,C32&lt;=#REF!)</formula>
    </cfRule>
  </conditionalFormatting>
  <conditionalFormatting sqref="C30:N30 C98:N98">
    <cfRule type="cellIs" dxfId="50" priority="6" stopIfTrue="1" operator="equal">
      <formula>$C$16</formula>
    </cfRule>
  </conditionalFormatting>
  <conditionalFormatting sqref="C12:D12">
    <cfRule type="cellIs" dxfId="49" priority="8" stopIfTrue="1" operator="equal">
      <formula>"C"</formula>
    </cfRule>
    <cfRule type="cellIs" dxfId="48" priority="9" stopIfTrue="1" operator="equal">
      <formula>"B2"</formula>
    </cfRule>
    <cfRule type="cellIs" dxfId="47" priority="10" stopIfTrue="1" operator="equal">
      <formula>"B1"</formula>
    </cfRule>
  </conditionalFormatting>
  <conditionalFormatting sqref="H146:S146 H120:S121">
    <cfRule type="cellIs" dxfId="46" priority="17" stopIfTrue="1" operator="equal">
      <formula>$C$16</formula>
    </cfRule>
  </conditionalFormatting>
  <conditionalFormatting sqref="F51:I51">
    <cfRule type="expression" dxfId="45" priority="18" stopIfTrue="1">
      <formula>LEFT($F$51,2)="OK"</formula>
    </cfRule>
  </conditionalFormatting>
  <conditionalFormatting sqref="G94">
    <cfRule type="cellIs" dxfId="44" priority="27" stopIfTrue="1" operator="equal">
      <formula>"OK: SR data match."</formula>
    </cfRule>
    <cfRule type="cellIs" dxfId="43" priority="28" stopIfTrue="1" operator="equal">
      <formula>"Warning: check SR data in M3 and M4."</formula>
    </cfRule>
  </conditionalFormatting>
  <conditionalFormatting sqref="C32">
    <cfRule type="expression" dxfId="42" priority="1" stopIfTrue="1">
      <formula>+AND(C31&gt;=#REF!,C31&lt;=#REF!)</formula>
    </cfRule>
  </conditionalFormatting>
  <dataValidations count="9">
    <dataValidation type="list" allowBlank="1" showInputMessage="1" showErrorMessage="1" sqref="B112 G6">
      <formula1>Component</formula1>
    </dataValidation>
    <dataValidation type="list" allowBlank="1" showInputMessage="1" showErrorMessage="1" sqref="C16">
      <formula1>PERIOD</formula1>
    </dataValidation>
    <dataValidation type="list" allowBlank="1" showInputMessage="1" showErrorMessage="1" sqref="G10:J10">
      <formula1>LFA</formula1>
    </dataValidation>
    <dataValidation type="list" allowBlank="1" showInputMessage="1" showErrorMessage="1" sqref="C4:D4">
      <formula1>Countries</formula1>
    </dataValidation>
    <dataValidation type="list" allowBlank="1" showInputMessage="1" showErrorMessage="1" sqref="C12:D12">
      <formula1>Rating</formula1>
    </dataValidation>
    <dataValidation type="list" allowBlank="1" showInputMessage="1" showErrorMessage="1" sqref="I8:J8">
      <formula1>Phase</formula1>
    </dataValidation>
    <dataValidation type="list" allowBlank="1" showInputMessage="1" showErrorMessage="1" sqref="G8">
      <formula1>Round</formula1>
    </dataValidation>
    <dataValidation type="list" allowBlank="1" showInputMessage="1" showErrorMessage="1" sqref="D26">
      <formula1>Currency</formula1>
    </dataValidation>
    <dataValidation type="list" allowBlank="1" showInputMessage="1" showErrorMessage="1" sqref="C112:C115">
      <formula1>Medicaments</formula1>
    </dataValidation>
  </dataValidations>
  <pageMargins left="0.70866141732283472" right="0.70866141732283472" top="0.74803149606299213" bottom="0.74803149606299213" header="0.31496062992125984" footer="0.31496062992125984"/>
  <pageSetup paperSize="9" orientation="landscape" r:id="rId1"/>
  <headerFooter>
    <oddFooter>&amp;L&amp;F&amp;C&amp;A&amp;RV1.0          &amp;D</oddFooter>
  </headerFooter>
  <rowBreaks count="1" manualBreakCount="1">
    <brk id="52" max="16383" man="1"/>
  </rowBreaks>
  <ignoredErrors>
    <ignoredError sqref="H146:S146 E147 D57" unlockedFormula="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51"/>
  </sheetPr>
  <dimension ref="A1:X18"/>
  <sheetViews>
    <sheetView showGridLines="0" topLeftCell="A7" zoomScale="90" zoomScaleNormal="90" zoomScaleSheetLayoutView="100" zoomScalePageLayoutView="90" workbookViewId="0">
      <selection activeCell="E29" sqref="E29"/>
    </sheetView>
  </sheetViews>
  <sheetFormatPr defaultColWidth="11.42578125" defaultRowHeight="15"/>
  <cols>
    <col min="1" max="1" width="21.140625" style="3" customWidth="1"/>
    <col min="2" max="2" width="12.42578125" style="3" customWidth="1"/>
    <col min="3" max="3" width="20.42578125" style="3" customWidth="1"/>
    <col min="4" max="4" width="15.28515625" style="3" customWidth="1"/>
    <col min="5" max="5" width="11.7109375" style="3" customWidth="1"/>
    <col min="6" max="6" width="10.7109375" style="3" customWidth="1"/>
    <col min="7" max="7" width="11.7109375" style="3" customWidth="1"/>
    <col min="8" max="8" width="15" style="3" customWidth="1"/>
    <col min="9" max="9" width="9.42578125" style="3" customWidth="1"/>
    <col min="10" max="10" width="13" style="3" customWidth="1"/>
    <col min="11" max="11" width="11.42578125" style="3" customWidth="1"/>
    <col min="12" max="12" width="8.140625" style="3" customWidth="1"/>
    <col min="13" max="13" width="9.7109375" style="3" customWidth="1"/>
    <col min="14" max="14" width="8.42578125" style="3" customWidth="1"/>
    <col min="15" max="15" width="7.140625" style="3" customWidth="1"/>
    <col min="16" max="16384" width="11.42578125" style="3"/>
  </cols>
  <sheetData>
    <row r="1" spans="1:24" ht="21" customHeight="1">
      <c r="A1" s="2"/>
      <c r="B1" s="2"/>
      <c r="C1" s="2"/>
      <c r="D1" s="2"/>
      <c r="E1" s="2"/>
      <c r="F1" s="2"/>
      <c r="G1" s="254"/>
      <c r="H1" s="2"/>
      <c r="I1" s="2"/>
      <c r="J1" s="2"/>
    </row>
    <row r="2" spans="1:24" ht="25.5" customHeight="1"/>
    <row r="3" spans="1:24" ht="36">
      <c r="B3" s="758" t="str">
        <f>+"Dashboard: "&amp;" "&amp;+IF('Data Entry'!C4="Please Select","",'Data Entry'!C4&amp;" - ")&amp;+IF('Data Entry'!G6="Please Select","",'Data Entry'!G6&amp;"  (")&amp;+IF('Data Entry'!C8="Please Select","",'Data Entry'!C8)&amp;")"</f>
        <v>Dashboard:  Ghana - MALARIA  (AngloGold Asanti (Ghana) Malaria Ltd)</v>
      </c>
      <c r="C3" s="758"/>
      <c r="D3" s="758"/>
      <c r="E3" s="758"/>
      <c r="F3" s="758"/>
      <c r="G3" s="758"/>
      <c r="H3" s="758"/>
      <c r="I3" s="758"/>
      <c r="J3" s="758"/>
      <c r="K3" s="4"/>
      <c r="L3" s="4"/>
      <c r="M3" s="4"/>
      <c r="N3" s="5"/>
      <c r="O3" s="5"/>
      <c r="P3" s="5"/>
      <c r="Q3" s="5"/>
      <c r="R3" s="5"/>
      <c r="S3" s="5"/>
      <c r="T3" s="5"/>
    </row>
    <row r="4" spans="1:24" ht="15" customHeight="1">
      <c r="L4" s="5"/>
      <c r="M4" s="5"/>
      <c r="N4" s="5"/>
      <c r="O4" s="5"/>
      <c r="P4" s="5"/>
      <c r="Q4" s="5"/>
      <c r="R4" s="5"/>
      <c r="S4" s="5"/>
      <c r="T4" s="5"/>
    </row>
    <row r="5" spans="1:24">
      <c r="L5" s="5"/>
      <c r="M5" s="5"/>
      <c r="N5" s="5"/>
      <c r="O5" s="5"/>
      <c r="P5" s="5"/>
      <c r="Q5" s="5"/>
      <c r="R5" s="5"/>
      <c r="S5" s="5"/>
      <c r="T5" s="5"/>
    </row>
    <row r="6" spans="1:24" ht="32.25" customHeight="1">
      <c r="A6" s="250" t="s">
        <v>33</v>
      </c>
      <c r="B6" s="760" t="str">
        <f>+IF('Data Entry'!C4="Please Select","",'Data Entry'!C4)</f>
        <v>Ghana</v>
      </c>
      <c r="C6" s="760"/>
      <c r="D6" s="764" t="s">
        <v>19</v>
      </c>
      <c r="E6" s="764"/>
      <c r="F6" s="765" t="str">
        <f>+'Data Entry'!G4</f>
        <v>Accelerating Access -- Home-Based Care &amp; Indoor Residual Spraying</v>
      </c>
      <c r="G6" s="765"/>
      <c r="H6" s="765"/>
      <c r="I6" s="765"/>
      <c r="J6" s="765"/>
      <c r="K6" s="50"/>
      <c r="L6" s="82"/>
      <c r="M6" s="50"/>
      <c r="N6" s="50"/>
      <c r="O6" s="50"/>
      <c r="P6" s="51"/>
      <c r="Q6" s="17"/>
      <c r="R6" s="17"/>
      <c r="S6" s="17"/>
      <c r="T6" s="17"/>
      <c r="U6" s="17"/>
    </row>
    <row r="7" spans="1:24" ht="8.25" customHeight="1">
      <c r="B7" s="6"/>
      <c r="C7" s="7"/>
      <c r="D7" s="7"/>
      <c r="E7" s="8"/>
      <c r="F7" s="8"/>
      <c r="G7" s="9"/>
      <c r="H7" s="9"/>
      <c r="K7" s="50"/>
      <c r="L7" s="50"/>
      <c r="M7" s="50"/>
      <c r="N7" s="50"/>
      <c r="O7" s="50"/>
      <c r="P7" s="51"/>
      <c r="Q7" s="17"/>
      <c r="R7" s="17"/>
      <c r="S7" s="17"/>
      <c r="T7" s="17"/>
      <c r="U7" s="17"/>
    </row>
    <row r="8" spans="1:24" ht="3.75" customHeight="1">
      <c r="C8" s="10"/>
      <c r="D8" s="10"/>
      <c r="E8" s="10"/>
      <c r="F8" s="10"/>
      <c r="G8" s="10"/>
      <c r="H8" s="10"/>
      <c r="I8" s="10"/>
      <c r="J8" s="10"/>
      <c r="K8" s="50"/>
      <c r="L8" s="50"/>
      <c r="M8" s="50"/>
      <c r="N8" s="50"/>
      <c r="O8" s="52"/>
      <c r="P8" s="51"/>
      <c r="Q8" s="52"/>
      <c r="R8" s="53"/>
      <c r="S8" s="17"/>
      <c r="T8" s="17"/>
      <c r="U8" s="17"/>
    </row>
    <row r="9" spans="1:24" ht="25.5" customHeight="1">
      <c r="A9" s="348" t="s">
        <v>34</v>
      </c>
      <c r="B9" s="445" t="str">
        <f>+IF('Data Entry'!G6="Please Select","",'Data Entry'!G6)</f>
        <v>MALARIA</v>
      </c>
      <c r="C9" s="348" t="s">
        <v>325</v>
      </c>
      <c r="D9" s="319" t="str">
        <f>+'Data Entry'!C6</f>
        <v>GHA-M-AGAMAL</v>
      </c>
      <c r="E9" s="762" t="s">
        <v>20</v>
      </c>
      <c r="F9" s="762"/>
      <c r="G9" s="320">
        <f>+IF(ISBLANK('Data Entry'!C10),"",'Data Entry'!C10)</f>
        <v>42064</v>
      </c>
      <c r="H9" s="348" t="str">
        <f>'Data Entry'!H6</f>
        <v>Funding:</v>
      </c>
      <c r="I9" s="761">
        <f>+IF(ISBLANK('Data Entry'!I6),"",'Data Entry'!I6)</f>
        <v>13325139.303646</v>
      </c>
      <c r="J9" s="761"/>
      <c r="K9" s="50"/>
      <c r="L9" s="50"/>
      <c r="M9" s="50"/>
      <c r="N9" s="50"/>
      <c r="O9" s="52"/>
      <c r="P9" s="51"/>
      <c r="Q9" s="52"/>
      <c r="R9" s="53"/>
      <c r="S9" s="17"/>
      <c r="T9" s="11"/>
      <c r="U9" s="11"/>
      <c r="V9" s="10"/>
      <c r="W9" s="10"/>
      <c r="X9" s="10"/>
    </row>
    <row r="10" spans="1:24" ht="25.5" customHeight="1">
      <c r="A10" s="348" t="s">
        <v>320</v>
      </c>
      <c r="B10" s="446" t="str">
        <f>+IF('Data Entry'!G8="Please Select","",'Data Entry'!G8)</f>
        <v>1</v>
      </c>
      <c r="C10" s="348" t="s">
        <v>319</v>
      </c>
      <c r="D10" s="443" t="str">
        <f>+IF('Data Entry'!I8="Please Select","",'Data Entry'!I8)</f>
        <v>New Funding Model</v>
      </c>
      <c r="E10" s="763" t="s">
        <v>274</v>
      </c>
      <c r="F10" s="763"/>
      <c r="G10" s="759" t="str">
        <f>+'Data Entry'!C8</f>
        <v>AngloGold Asanti (Ghana) Malaria Ltd</v>
      </c>
      <c r="H10" s="759"/>
      <c r="I10" s="759"/>
      <c r="J10" s="759"/>
      <c r="K10" s="54"/>
      <c r="L10" s="54"/>
      <c r="M10" s="50"/>
      <c r="N10" s="54"/>
      <c r="O10" s="52"/>
      <c r="P10" s="51"/>
      <c r="Q10" s="11"/>
      <c r="R10" s="53"/>
      <c r="S10" s="17"/>
      <c r="T10" s="11"/>
      <c r="U10" s="11"/>
    </row>
    <row r="11" spans="1:24" ht="25.5" customHeight="1">
      <c r="A11" s="348" t="s">
        <v>28</v>
      </c>
      <c r="B11" s="447" t="str">
        <f>+'Data Entry'!C16</f>
        <v>P4</v>
      </c>
      <c r="C11" s="408" t="s">
        <v>272</v>
      </c>
      <c r="D11" s="444">
        <f>+IF(ISBLANK('Data Entry'!E16),"",'Data Entry'!E16)</f>
        <v>42278</v>
      </c>
      <c r="E11" s="762" t="s">
        <v>29</v>
      </c>
      <c r="F11" s="762"/>
      <c r="G11" s="320">
        <f>+IF(ISBLANK('Data Entry'!G16),"",'Data Entry'!G16)</f>
        <v>42369</v>
      </c>
      <c r="H11" s="348" t="s">
        <v>36</v>
      </c>
      <c r="I11" s="766" t="str">
        <f>+IF('Data Entry'!C12="Please Select","",'Data Entry'!C12)</f>
        <v>A2</v>
      </c>
      <c r="J11" s="766"/>
      <c r="K11" s="253"/>
      <c r="L11" s="54"/>
      <c r="M11" s="50"/>
      <c r="N11" s="54"/>
      <c r="O11" s="54"/>
      <c r="P11" s="51"/>
      <c r="Q11" s="11"/>
      <c r="R11" s="53"/>
      <c r="S11" s="17"/>
      <c r="T11" s="12"/>
      <c r="U11" s="11"/>
    </row>
    <row r="12" spans="1:24" ht="25.5" customHeight="1">
      <c r="A12" s="348" t="s">
        <v>38</v>
      </c>
      <c r="B12" s="759" t="str">
        <f>+IF('Data Entry'!G10="Please Select","",'Data Entry'!G10)</f>
        <v>PwC (PricewaterhouseCoopers)</v>
      </c>
      <c r="C12" s="759"/>
      <c r="D12" s="759"/>
      <c r="E12" s="763" t="s">
        <v>294</v>
      </c>
      <c r="F12" s="763"/>
      <c r="G12" s="759" t="str">
        <f>+'Data Entry'!G12</f>
        <v>Mark Saalfeld</v>
      </c>
      <c r="H12" s="759"/>
      <c r="I12" s="759"/>
      <c r="J12" s="759"/>
      <c r="K12" s="54"/>
      <c r="L12" s="54"/>
      <c r="M12" s="50"/>
      <c r="N12" s="54"/>
      <c r="O12" s="17"/>
      <c r="P12" s="51"/>
      <c r="Q12" s="11"/>
      <c r="R12" s="53"/>
      <c r="S12" s="17"/>
      <c r="T12" s="11"/>
      <c r="U12" s="55"/>
      <c r="V12" s="11"/>
      <c r="W12" s="12"/>
      <c r="X12" s="11"/>
    </row>
    <row r="13" spans="1:24" ht="25.5" customHeight="1">
      <c r="A13" s="348" t="s">
        <v>39</v>
      </c>
      <c r="B13" s="759" t="str">
        <f>+'Data Entry'!D18</f>
        <v>AGAMAL LTD</v>
      </c>
      <c r="C13" s="759"/>
      <c r="D13" s="759"/>
      <c r="E13" s="763" t="s">
        <v>37</v>
      </c>
      <c r="F13" s="763"/>
      <c r="G13" s="767">
        <f>+IF(ISBLANK('Data Entry'!J16),"",'Data Entry'!J16)</f>
        <v>42412</v>
      </c>
      <c r="H13" s="768"/>
      <c r="I13" s="768"/>
      <c r="J13" s="768"/>
      <c r="K13" s="17"/>
      <c r="L13" s="18"/>
      <c r="M13" s="18"/>
      <c r="N13" s="18"/>
      <c r="O13" s="17"/>
      <c r="P13" s="18"/>
      <c r="Q13" s="18"/>
      <c r="R13" s="53"/>
      <c r="S13" s="17"/>
      <c r="T13" s="18"/>
      <c r="U13" s="56"/>
    </row>
    <row r="14" spans="1:24">
      <c r="A14" s="14"/>
      <c r="B14" s="14"/>
      <c r="C14" s="16"/>
      <c r="D14" s="16"/>
      <c r="E14" s="16"/>
      <c r="F14" s="16"/>
      <c r="L14" s="13"/>
      <c r="M14" s="13"/>
      <c r="N14" s="13"/>
      <c r="O14" s="13"/>
      <c r="P14" s="13"/>
      <c r="Q14" s="13"/>
      <c r="R14" s="13"/>
      <c r="S14" s="13"/>
      <c r="T14" s="13"/>
      <c r="U14" s="13"/>
    </row>
    <row r="15" spans="1:24">
      <c r="A15" s="16"/>
      <c r="B15" s="16"/>
      <c r="C15" s="16"/>
      <c r="D15" s="16"/>
      <c r="E15" s="16"/>
      <c r="F15" s="16"/>
      <c r="L15" s="13"/>
      <c r="M15" s="13"/>
      <c r="N15" s="13"/>
      <c r="O15" s="13"/>
      <c r="P15" s="13"/>
      <c r="Q15" s="13"/>
      <c r="R15" s="13"/>
      <c r="S15" s="13"/>
      <c r="T15" s="13"/>
      <c r="U15" s="13"/>
    </row>
    <row r="16" spans="1:24">
      <c r="A16" s="16"/>
      <c r="B16" s="16"/>
      <c r="C16" s="233"/>
      <c r="D16" s="16"/>
      <c r="E16" s="349"/>
      <c r="F16" s="15"/>
      <c r="L16" s="13"/>
      <c r="M16" s="13"/>
      <c r="N16" s="13"/>
      <c r="O16" s="13"/>
      <c r="P16" s="13"/>
      <c r="Q16" s="13"/>
      <c r="R16" s="13"/>
      <c r="S16" s="13"/>
      <c r="T16" s="13"/>
      <c r="U16" s="13"/>
    </row>
    <row r="17" spans="1:6">
      <c r="A17" s="16"/>
      <c r="B17" s="16"/>
      <c r="C17" s="16"/>
      <c r="D17" s="16"/>
      <c r="E17" s="16"/>
      <c r="F17" s="15"/>
    </row>
    <row r="18" spans="1:6">
      <c r="A18" s="15"/>
      <c r="B18" s="15"/>
      <c r="C18" s="15"/>
      <c r="D18" s="15"/>
      <c r="E18" s="15"/>
      <c r="F18" s="15"/>
    </row>
  </sheetData>
  <sheetProtection password="CFC9" sheet="1"/>
  <dataConsolidate/>
  <mergeCells count="16">
    <mergeCell ref="B13:D13"/>
    <mergeCell ref="E10:F10"/>
    <mergeCell ref="I11:J11"/>
    <mergeCell ref="G12:J12"/>
    <mergeCell ref="E13:F13"/>
    <mergeCell ref="G13:J13"/>
    <mergeCell ref="B3:J3"/>
    <mergeCell ref="B12:D12"/>
    <mergeCell ref="B6:C6"/>
    <mergeCell ref="I9:J9"/>
    <mergeCell ref="E11:F11"/>
    <mergeCell ref="E12:F12"/>
    <mergeCell ref="D6:E6"/>
    <mergeCell ref="F6:J6"/>
    <mergeCell ref="E9:F9"/>
    <mergeCell ref="G10:J10"/>
  </mergeCells>
  <phoneticPr fontId="31" type="noConversion"/>
  <conditionalFormatting sqref="I11:J11">
    <cfRule type="cellIs" dxfId="41" priority="1" stopIfTrue="1" operator="equal">
      <formula>"C"</formula>
    </cfRule>
    <cfRule type="cellIs" dxfId="40" priority="2" stopIfTrue="1" operator="equal">
      <formula>"B2"</formula>
    </cfRule>
    <cfRule type="cellIs" dxfId="39" priority="3" stopIfTrue="1" operator="equal">
      <formula>"B1"</formula>
    </cfRule>
  </conditionalFormatting>
  <dataValidations count="1">
    <dataValidation type="list" allowBlank="1" showInputMessage="1" showErrorMessage="1" sqref="G7">
      <formula1>$K$8:$K$9</formula1>
    </dataValidation>
  </dataValidations>
  <pageMargins left="0.70866141732283472" right="0.70866141732283472" top="0.74803149606299213" bottom="0.74803149606299213" header="0.31496062992125984" footer="0.31496062992125984"/>
  <pageSetup paperSize="9" scale="92" orientation="landscape"/>
  <headerFooter>
    <oddFooter>&amp;L&amp;F&amp;C&amp;A&amp;RV1.0          &amp;D</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1"/>
  </sheetPr>
  <dimension ref="A1:O34"/>
  <sheetViews>
    <sheetView showGridLines="0" zoomScaleNormal="100" workbookViewId="0">
      <selection activeCell="C23" sqref="C23:F23"/>
    </sheetView>
  </sheetViews>
  <sheetFormatPr defaultColWidth="11" defaultRowHeight="15"/>
  <cols>
    <col min="1" max="1" width="3.42578125" customWidth="1"/>
    <col min="2" max="2" width="11.28515625" customWidth="1"/>
    <col min="3" max="3" width="5.140625" customWidth="1"/>
    <col min="4" max="4" width="12.42578125" customWidth="1"/>
    <col min="5" max="5" width="11.42578125" customWidth="1"/>
    <col min="6" max="6" width="14.28515625" customWidth="1"/>
    <col min="7" max="7" width="3.85546875" customWidth="1"/>
    <col min="8" max="8" width="10.42578125" customWidth="1"/>
    <col min="9" max="9" width="14.7109375" customWidth="1"/>
    <col min="10" max="10" width="12" customWidth="1"/>
    <col min="11" max="11" width="11.7109375" customWidth="1"/>
  </cols>
  <sheetData>
    <row r="1" spans="2:15" ht="30.75" customHeight="1">
      <c r="B1" s="3"/>
      <c r="C1" s="3"/>
      <c r="D1" s="3"/>
      <c r="E1" s="3"/>
      <c r="F1" s="3"/>
      <c r="G1" s="3"/>
      <c r="H1" s="3"/>
      <c r="I1" s="3"/>
      <c r="J1" s="3"/>
      <c r="K1" s="3"/>
    </row>
    <row r="2" spans="2:15" ht="27.75" customHeight="1">
      <c r="B2" s="701" t="str">
        <f>'Grant Detail'!B3:J3</f>
        <v>Dashboard:  Ghana - MALARIA  (AngloGold Asanti (Ghana) Malaria Ltd)</v>
      </c>
      <c r="C2" s="701"/>
      <c r="D2" s="701"/>
      <c r="E2" s="701"/>
      <c r="F2" s="701"/>
      <c r="G2" s="701"/>
      <c r="H2" s="701"/>
      <c r="I2" s="701"/>
      <c r="J2" s="701"/>
      <c r="K2" s="701"/>
      <c r="L2" s="1"/>
      <c r="M2" s="1"/>
      <c r="N2" s="1"/>
      <c r="O2" s="1"/>
    </row>
    <row r="3" spans="2:15">
      <c r="B3" s="132" t="str">
        <f>+IF('Data Entry'!G8="Please Select","",'Data Entry'!G8)</f>
        <v>1</v>
      </c>
      <c r="C3" s="783" t="str">
        <f>+IF('Data Entry'!I8="Please Select","",'Data Entry'!I8)</f>
        <v>New Funding Model</v>
      </c>
      <c r="D3" s="783"/>
      <c r="E3" s="782"/>
      <c r="F3" s="782"/>
      <c r="G3" s="782"/>
      <c r="H3" s="782"/>
      <c r="I3" s="780" t="str">
        <f>+'Data Entry'!B16</f>
        <v>Report Period:</v>
      </c>
      <c r="J3" s="780"/>
      <c r="K3" s="198" t="str">
        <f>+'Data Entry'!C16</f>
        <v>P4</v>
      </c>
      <c r="L3" s="83"/>
    </row>
    <row r="4" spans="2:15">
      <c r="B4" s="132" t="str">
        <f>+'Data Entry'!B12</f>
        <v>Latest Rating:</v>
      </c>
      <c r="C4" s="784" t="str">
        <f>+IF('Data Entry'!C12="Please Select","",'Data Entry'!C12)</f>
        <v>A2</v>
      </c>
      <c r="D4" s="784"/>
      <c r="E4" s="782" t="str">
        <f>+'Data Entry'!C8</f>
        <v>AngloGold Asanti (Ghana) Malaria Ltd</v>
      </c>
      <c r="F4" s="782"/>
      <c r="G4" s="782"/>
      <c r="H4" s="782"/>
      <c r="I4" s="780" t="str">
        <f>+'Data Entry'!D16</f>
        <v>From:</v>
      </c>
      <c r="J4" s="781"/>
      <c r="K4" s="200">
        <f>+IF(ISBLANK('Data Entry'!E16),"",'Data Entry'!E16)</f>
        <v>42278</v>
      </c>
    </row>
    <row r="5" spans="2:15" ht="18.75" customHeight="1">
      <c r="B5" s="132"/>
      <c r="C5" s="132"/>
      <c r="D5" s="779" t="str">
        <f>+'Data Entry'!G4</f>
        <v>Accelerating Access -- Home-Based Care &amp; Indoor Residual Spraying</v>
      </c>
      <c r="E5" s="779"/>
      <c r="F5" s="779"/>
      <c r="G5" s="779"/>
      <c r="H5" s="779"/>
      <c r="I5" s="779"/>
      <c r="J5" s="132" t="str">
        <f>+'Data Entry'!F16</f>
        <v>To:</v>
      </c>
      <c r="K5" s="200">
        <f>+IF(ISBLANK('Data Entry'!G16),"",'Data Entry'!G16)</f>
        <v>42369</v>
      </c>
    </row>
    <row r="6" spans="2:15" ht="18.75">
      <c r="B6" s="136"/>
      <c r="C6" s="132"/>
      <c r="D6" s="133"/>
      <c r="E6" s="769" t="s">
        <v>69</v>
      </c>
      <c r="F6" s="769"/>
      <c r="G6" s="769"/>
      <c r="H6" s="769"/>
      <c r="I6" s="3"/>
      <c r="J6" s="3"/>
      <c r="K6" s="3"/>
    </row>
    <row r="7" spans="2:15" ht="10.5" customHeight="1">
      <c r="B7" s="137"/>
      <c r="C7" s="138"/>
      <c r="D7" s="139"/>
      <c r="E7" s="140"/>
      <c r="F7" s="140"/>
      <c r="G7" s="141"/>
      <c r="H7" s="141"/>
      <c r="I7" s="135"/>
      <c r="J7" s="135"/>
      <c r="K7" s="134"/>
    </row>
    <row r="8" spans="2:15">
      <c r="B8" s="203" t="str">
        <f>+'Data Entry'!B27&amp; " - ("&amp;'Data Entry'!D26&amp;")            "&amp;+I3&amp;" "&amp;+K3</f>
        <v>F1: Budget and disbursements by Global Fund - ($)            Report Period: P4</v>
      </c>
      <c r="C8" s="142"/>
      <c r="D8" s="2"/>
      <c r="E8" s="2"/>
      <c r="F8" s="2"/>
      <c r="H8" s="203" t="str">
        <f>+'Data Entry'!B53&amp; " - ("&amp;'Data Entry'!D26&amp;")               "&amp;+I3&amp;" "&amp;+K3</f>
        <v>F3: Disbursements and expenditures - ($)               Report Period: P4</v>
      </c>
      <c r="I8" s="3"/>
      <c r="J8" s="3"/>
      <c r="K8" s="3"/>
    </row>
    <row r="9" spans="2:15" ht="127.5" customHeight="1">
      <c r="B9" s="324" t="s">
        <v>16</v>
      </c>
      <c r="C9" s="775" t="s">
        <v>505</v>
      </c>
      <c r="D9" s="776"/>
      <c r="E9" s="776"/>
      <c r="F9" s="785"/>
      <c r="H9" s="325" t="s">
        <v>16</v>
      </c>
      <c r="I9" s="775" t="s">
        <v>508</v>
      </c>
      <c r="J9" s="776"/>
      <c r="K9" s="776"/>
    </row>
    <row r="10" spans="2:15">
      <c r="B10" s="2"/>
      <c r="C10" s="2"/>
      <c r="D10" s="2"/>
      <c r="E10" s="2"/>
      <c r="F10" s="2"/>
      <c r="G10" s="3"/>
      <c r="H10" s="3"/>
      <c r="I10" s="3"/>
      <c r="J10" s="3"/>
      <c r="K10" s="3"/>
    </row>
    <row r="11" spans="2:15">
      <c r="B11" s="2"/>
      <c r="C11" s="2"/>
      <c r="D11" s="2"/>
      <c r="E11" s="2"/>
      <c r="F11" s="2"/>
      <c r="G11" s="3"/>
      <c r="H11" s="3"/>
      <c r="I11" s="3"/>
      <c r="J11" s="3"/>
      <c r="K11" s="3"/>
    </row>
    <row r="12" spans="2:15">
      <c r="B12" s="2"/>
      <c r="C12" s="2"/>
      <c r="D12" s="2"/>
      <c r="E12" s="2"/>
      <c r="F12" s="2"/>
      <c r="G12" s="3"/>
      <c r="H12" s="3"/>
      <c r="I12" s="3"/>
      <c r="J12" s="3"/>
      <c r="K12" s="3"/>
    </row>
    <row r="13" spans="2:15">
      <c r="B13" s="2"/>
      <c r="C13" s="2"/>
      <c r="D13" s="2"/>
      <c r="E13" s="2"/>
      <c r="F13" s="2"/>
      <c r="G13" s="3"/>
      <c r="H13" s="3"/>
      <c r="I13" s="3"/>
      <c r="J13" s="3"/>
      <c r="K13" s="3"/>
    </row>
    <row r="14" spans="2:15">
      <c r="B14" s="2"/>
      <c r="C14" s="2"/>
      <c r="D14" s="2"/>
      <c r="E14" s="2"/>
      <c r="F14" s="2"/>
      <c r="G14" s="3"/>
      <c r="H14" s="3"/>
      <c r="I14" s="3"/>
      <c r="J14" s="3"/>
      <c r="K14" s="3"/>
    </row>
    <row r="15" spans="2:15">
      <c r="B15" s="2"/>
      <c r="C15" s="2"/>
      <c r="D15" s="2"/>
      <c r="E15" s="2"/>
      <c r="F15" s="2"/>
      <c r="G15" s="3"/>
      <c r="H15" s="3"/>
      <c r="I15" s="3"/>
      <c r="J15" s="3"/>
      <c r="K15" s="3"/>
    </row>
    <row r="16" spans="2:15">
      <c r="B16" s="2"/>
      <c r="C16" s="2"/>
      <c r="D16" s="2"/>
      <c r="E16" s="2"/>
      <c r="F16" s="2"/>
      <c r="G16" s="3"/>
      <c r="H16" s="3"/>
      <c r="I16" s="3"/>
      <c r="J16" s="3"/>
      <c r="K16" s="3"/>
    </row>
    <row r="17" spans="1:11">
      <c r="B17" s="2"/>
      <c r="C17" s="2"/>
      <c r="D17" s="2"/>
      <c r="E17" s="2"/>
      <c r="F17" s="2"/>
      <c r="G17" s="3"/>
      <c r="H17" s="3"/>
      <c r="I17" s="3"/>
      <c r="J17" s="3"/>
      <c r="K17" s="3"/>
    </row>
    <row r="18" spans="1:11">
      <c r="B18" s="2"/>
      <c r="C18" s="2"/>
      <c r="D18" s="2"/>
      <c r="E18" s="2"/>
      <c r="F18" s="2"/>
      <c r="G18" s="3"/>
      <c r="H18" s="3"/>
      <c r="I18" s="3"/>
      <c r="J18" s="3"/>
      <c r="K18" s="3"/>
    </row>
    <row r="19" spans="1:11">
      <c r="B19" s="2"/>
      <c r="C19" s="2"/>
      <c r="D19" s="2"/>
      <c r="E19" s="2"/>
      <c r="F19" s="2"/>
      <c r="G19" s="3"/>
      <c r="H19" s="3"/>
      <c r="I19" s="3"/>
      <c r="J19" s="3"/>
      <c r="K19" s="3"/>
    </row>
    <row r="20" spans="1:11">
      <c r="B20" s="2"/>
      <c r="C20" s="2"/>
      <c r="D20" s="2"/>
      <c r="E20" s="2"/>
      <c r="F20" s="2"/>
      <c r="G20" s="3"/>
      <c r="H20" s="3"/>
      <c r="I20" s="3"/>
      <c r="J20" s="3"/>
      <c r="K20" s="3"/>
    </row>
    <row r="21" spans="1:11">
      <c r="A21" s="19"/>
      <c r="B21" s="19"/>
      <c r="C21" s="19"/>
      <c r="D21" s="19"/>
      <c r="E21" s="19"/>
      <c r="F21" s="19"/>
      <c r="G21" s="19"/>
      <c r="H21" s="19"/>
      <c r="I21" s="19"/>
      <c r="J21" s="19"/>
      <c r="K21" s="19"/>
    </row>
    <row r="22" spans="1:11" ht="17.25" customHeight="1">
      <c r="B22" s="204" t="str">
        <f>+'Data Entry'!B36&amp; " - ("&amp;'Data Entry'!D26&amp;")  "&amp;+I3&amp;" "&amp;+K3</f>
        <v>F2: Budget and actual expenditures by category - ($)  Report Period: P4</v>
      </c>
      <c r="C22" s="2"/>
      <c r="D22" s="2"/>
      <c r="E22" s="2"/>
      <c r="F22" s="2"/>
      <c r="H22" s="204" t="str">
        <f>+'Data Entry'!B62&amp;"      "&amp;+I3&amp;" "&amp;+K3</f>
        <v>F4: Latest PR reporting and disbursement cycle      Report Period: P4</v>
      </c>
      <c r="J22" s="3"/>
      <c r="K22" s="3"/>
    </row>
    <row r="23" spans="1:11" ht="204" customHeight="1">
      <c r="B23" s="325" t="s">
        <v>17</v>
      </c>
      <c r="C23" s="786" t="s">
        <v>509</v>
      </c>
      <c r="D23" s="776"/>
      <c r="E23" s="776"/>
      <c r="F23" s="785"/>
      <c r="G23" s="345"/>
      <c r="H23" s="325" t="s">
        <v>16</v>
      </c>
      <c r="I23" s="786"/>
      <c r="J23" s="787"/>
      <c r="K23" s="788"/>
    </row>
    <row r="24" spans="1:11" ht="15.75" thickBot="1">
      <c r="B24" s="213"/>
      <c r="C24" s="213"/>
      <c r="D24" s="213"/>
      <c r="E24" s="213"/>
      <c r="F24" s="213"/>
      <c r="G24" s="213"/>
      <c r="H24" s="214"/>
      <c r="I24" s="214"/>
      <c r="J24" s="213"/>
      <c r="K24" s="213"/>
    </row>
    <row r="25" spans="1:11" ht="29.25" customHeight="1" thickBot="1">
      <c r="B25" s="3"/>
      <c r="C25" s="3"/>
      <c r="D25" s="3"/>
      <c r="E25" s="3"/>
      <c r="F25" s="3"/>
      <c r="G25" s="304"/>
      <c r="H25" s="770" t="s">
        <v>310</v>
      </c>
      <c r="I25" s="771"/>
      <c r="J25" s="771"/>
      <c r="K25" s="772"/>
    </row>
    <row r="26" spans="1:11" ht="24.75">
      <c r="B26" s="3"/>
      <c r="C26" s="3"/>
      <c r="D26" s="3"/>
      <c r="E26" s="3"/>
      <c r="F26" s="3"/>
      <c r="G26" s="268"/>
      <c r="H26" s="773"/>
      <c r="I26" s="774"/>
      <c r="J26" s="283" t="s">
        <v>67</v>
      </c>
      <c r="K26" s="284" t="s">
        <v>68</v>
      </c>
    </row>
    <row r="27" spans="1:11" ht="23.25" customHeight="1">
      <c r="B27" s="3"/>
      <c r="C27" s="3"/>
      <c r="D27" s="3"/>
      <c r="E27" s="3"/>
      <c r="F27" s="3"/>
      <c r="G27" s="305"/>
      <c r="H27" s="777" t="str">
        <f>'Data Entry'!B66</f>
        <v>Days taken to submit final PU/DR to LFA</v>
      </c>
      <c r="I27" s="778"/>
      <c r="J27" s="285">
        <f>+'Data Entry'!C66</f>
        <v>45</v>
      </c>
      <c r="K27" s="282">
        <f>+'Data Entry'!D66</f>
        <v>45</v>
      </c>
    </row>
    <row r="28" spans="1:11" ht="21" customHeight="1">
      <c r="B28" s="3"/>
      <c r="C28" s="3"/>
      <c r="D28" s="3"/>
      <c r="E28" s="3"/>
      <c r="F28" s="3"/>
      <c r="G28" s="305"/>
      <c r="H28" s="777" t="str">
        <f>'Data Entry'!B67</f>
        <v>Days taken for disbursement to reach PR</v>
      </c>
      <c r="I28" s="778"/>
      <c r="J28" s="285">
        <f>+'Data Entry'!C67</f>
        <v>45</v>
      </c>
      <c r="K28" s="518" t="str">
        <f>+'Data Entry'!D67</f>
        <v>-</v>
      </c>
    </row>
    <row r="29" spans="1:11" ht="21" customHeight="1" thickBot="1">
      <c r="B29" s="3"/>
      <c r="C29" s="3"/>
      <c r="D29" s="3"/>
      <c r="E29" s="3"/>
      <c r="F29" s="3"/>
      <c r="G29" s="305"/>
      <c r="H29" s="789" t="str">
        <f>'Data Entry'!B68</f>
        <v xml:space="preserve">Days taken for disbursement to reach SRs </v>
      </c>
      <c r="I29" s="790"/>
      <c r="J29" s="286">
        <f>+'Data Entry'!C68</f>
        <v>0</v>
      </c>
      <c r="K29" s="287">
        <f>+'Data Entry'!D68</f>
        <v>0</v>
      </c>
    </row>
    <row r="30" spans="1:11">
      <c r="B30" s="3"/>
      <c r="C30" s="3"/>
      <c r="D30" s="3"/>
      <c r="E30" s="3"/>
      <c r="F30" s="3"/>
      <c r="G30" s="3"/>
      <c r="H30" s="3"/>
      <c r="I30" s="3"/>
      <c r="J30" s="3"/>
      <c r="K30" s="3"/>
    </row>
    <row r="31" spans="1:11">
      <c r="B31" s="3"/>
      <c r="C31" s="15"/>
      <c r="D31" s="234"/>
      <c r="E31" s="3"/>
      <c r="F31" s="3"/>
      <c r="G31" s="3"/>
      <c r="H31" s="3"/>
      <c r="I31" s="3"/>
      <c r="J31" s="3"/>
      <c r="K31" s="3"/>
    </row>
    <row r="32" spans="1:11">
      <c r="B32" s="3"/>
      <c r="C32" s="15"/>
      <c r="D32" s="234"/>
      <c r="E32" s="3"/>
      <c r="F32" s="3"/>
      <c r="G32" s="3"/>
      <c r="H32" s="3"/>
      <c r="I32" s="3"/>
      <c r="J32" s="3"/>
      <c r="K32" s="3"/>
    </row>
    <row r="34" spans="5:5">
      <c r="E34" s="19"/>
    </row>
  </sheetData>
  <sheetProtection password="CFC9" sheet="1" objects="1" scenarios="1"/>
  <mergeCells count="18">
    <mergeCell ref="H28:I28"/>
    <mergeCell ref="H29:I29"/>
    <mergeCell ref="B2:K2"/>
    <mergeCell ref="D5:I5"/>
    <mergeCell ref="I4:J4"/>
    <mergeCell ref="I3:J3"/>
    <mergeCell ref="E3:H3"/>
    <mergeCell ref="C3:D3"/>
    <mergeCell ref="C4:D4"/>
    <mergeCell ref="E4:H4"/>
    <mergeCell ref="E6:H6"/>
    <mergeCell ref="H25:K25"/>
    <mergeCell ref="H26:I26"/>
    <mergeCell ref="I9:K9"/>
    <mergeCell ref="H27:I27"/>
    <mergeCell ref="C9:F9"/>
    <mergeCell ref="I23:K23"/>
    <mergeCell ref="C23:F23"/>
  </mergeCells>
  <phoneticPr fontId="31" type="noConversion"/>
  <conditionalFormatting sqref="K27:K29">
    <cfRule type="cellIs" dxfId="38" priority="4" stopIfTrue="1" operator="greaterThan">
      <formula>J27</formula>
    </cfRule>
    <cfRule type="cellIs" dxfId="37" priority="5" stopIfTrue="1" operator="between">
      <formula>J27</formula>
      <formula>1</formula>
    </cfRule>
    <cfRule type="cellIs" dxfId="36" priority="6" stopIfTrue="1" operator="equal">
      <formula>0</formula>
    </cfRule>
  </conditionalFormatting>
  <conditionalFormatting sqref="C4:D4">
    <cfRule type="cellIs" dxfId="35" priority="1" stopIfTrue="1" operator="equal">
      <formula>"C"</formula>
    </cfRule>
    <cfRule type="cellIs" dxfId="34" priority="2" stopIfTrue="1" operator="equal">
      <formula>"B2"</formula>
    </cfRule>
    <cfRule type="cellIs" dxfId="33" priority="3" stopIfTrue="1" operator="equal">
      <formula>"B1"</formula>
    </cfRule>
  </conditionalFormatting>
  <pageMargins left="0.70866141732283472" right="0.70866141732283472" top="0.74803149606299213" bottom="0.74803149606299213" header="0.31496062992125984" footer="0.31496062992125984"/>
  <pageSetup paperSize="9" scale="97" orientation="landscape" r:id="rId1"/>
  <headerFooter>
    <oddFooter>&amp;L&amp;F&amp;C&amp;A&amp;RV1.0          &amp;D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1"/>
  </sheetPr>
  <dimension ref="A1:AI46"/>
  <sheetViews>
    <sheetView showGridLines="0" zoomScale="130" zoomScaleNormal="130" zoomScalePageLayoutView="125" workbookViewId="0">
      <selection activeCell="G9" sqref="G9:K9"/>
    </sheetView>
  </sheetViews>
  <sheetFormatPr defaultColWidth="11" defaultRowHeight="15"/>
  <cols>
    <col min="1" max="1" width="0.42578125" customWidth="1"/>
    <col min="2" max="2" width="11.28515625" customWidth="1"/>
    <col min="3" max="3" width="16.140625" customWidth="1"/>
    <col min="4" max="4" width="17.28515625" customWidth="1"/>
    <col min="5" max="5" width="8.42578125" customWidth="1"/>
    <col min="6" max="6" width="8.85546875" customWidth="1"/>
    <col min="7" max="7" width="5.7109375" customWidth="1"/>
    <col min="8" max="8" width="6.28515625" customWidth="1"/>
    <col min="9" max="9" width="6" customWidth="1"/>
    <col min="10" max="10" width="4.140625" customWidth="1"/>
    <col min="11" max="11" width="12.42578125" customWidth="1"/>
    <col min="12" max="12" width="8.42578125" customWidth="1"/>
    <col min="13" max="13" width="5" customWidth="1"/>
    <col min="14" max="14" width="6.42578125" customWidth="1"/>
    <col min="15" max="15" width="4.140625" customWidth="1"/>
    <col min="16" max="16" width="10.7109375" customWidth="1"/>
    <col min="17" max="17" width="11.7109375" customWidth="1"/>
    <col min="18" max="18" width="6.42578125" customWidth="1"/>
  </cols>
  <sheetData>
    <row r="1" spans="1:35" ht="26.25" customHeight="1">
      <c r="A1" s="3"/>
      <c r="B1" s="3"/>
      <c r="C1" s="3"/>
      <c r="D1" s="3"/>
      <c r="E1" s="3"/>
      <c r="F1" s="3"/>
      <c r="G1" s="3"/>
      <c r="H1" s="3"/>
      <c r="I1" s="3"/>
      <c r="J1" s="3"/>
      <c r="K1" s="3"/>
      <c r="L1" s="3"/>
      <c r="M1" s="3"/>
      <c r="N1" s="3"/>
      <c r="O1" s="3"/>
      <c r="P1" s="3"/>
    </row>
    <row r="2" spans="1:35" ht="21.75" customHeight="1">
      <c r="A2" s="3"/>
      <c r="B2" s="826" t="str">
        <f>'Grant Detail'!B3:J3</f>
        <v>Dashboard:  Ghana - MALARIA  (AngloGold Asanti (Ghana) Malaria Ltd)</v>
      </c>
      <c r="C2" s="826"/>
      <c r="D2" s="826"/>
      <c r="E2" s="826"/>
      <c r="F2" s="826"/>
      <c r="G2" s="826"/>
      <c r="H2" s="826"/>
      <c r="I2" s="826"/>
      <c r="J2" s="826"/>
      <c r="K2" s="826"/>
      <c r="L2" s="826"/>
      <c r="M2" s="826"/>
      <c r="N2" s="826"/>
      <c r="O2" s="826"/>
      <c r="P2" s="826"/>
      <c r="Q2" s="826"/>
    </row>
    <row r="3" spans="1:35" ht="18.75">
      <c r="A3" s="3"/>
      <c r="B3" s="132" t="str">
        <f>+IF('Data Entry'!G8="Please Select","",'Data Entry'!G8)</f>
        <v>1</v>
      </c>
      <c r="C3" s="783" t="str">
        <f>+IF('Data Entry'!I8="Please Select","",'Data Entry'!I8)</f>
        <v>New Funding Model</v>
      </c>
      <c r="D3" s="783"/>
      <c r="E3" s="782"/>
      <c r="F3" s="782"/>
      <c r="G3" s="782"/>
      <c r="H3" s="782"/>
      <c r="I3" s="829"/>
      <c r="J3" s="829"/>
      <c r="K3" s="829"/>
      <c r="L3" s="3"/>
      <c r="M3" s="3"/>
      <c r="O3" s="780" t="str">
        <f>+'Data Entry'!B16</f>
        <v>Report Period:</v>
      </c>
      <c r="P3" s="780"/>
      <c r="Q3" s="199" t="str">
        <f>+'Data Entry'!C16</f>
        <v>P4</v>
      </c>
    </row>
    <row r="4" spans="1:35" ht="12" customHeight="1">
      <c r="A4" s="3"/>
      <c r="B4" s="132" t="str">
        <f>+'Data Entry'!B12</f>
        <v>Latest Rating:</v>
      </c>
      <c r="C4" s="830" t="str">
        <f>+IF('Data Entry'!C12="Please Select","",'Data Entry'!C12)</f>
        <v>A2</v>
      </c>
      <c r="D4" s="830"/>
      <c r="E4" s="782" t="str">
        <f>+'Data Entry'!C8</f>
        <v>AngloGold Asanti (Ghana) Malaria Ltd</v>
      </c>
      <c r="F4" s="782"/>
      <c r="G4" s="782"/>
      <c r="H4" s="782"/>
      <c r="I4" s="782"/>
      <c r="J4" s="782"/>
      <c r="K4" s="782"/>
      <c r="L4" s="782"/>
      <c r="M4" s="3"/>
      <c r="O4" s="312"/>
      <c r="P4" s="132" t="str">
        <f>+'Data Entry'!D16</f>
        <v>From:</v>
      </c>
      <c r="Q4" s="313">
        <f>+IF(ISBLANK('Data Entry'!E16),"",'Data Entry'!E16)</f>
        <v>42278</v>
      </c>
      <c r="Y4" s="71"/>
      <c r="Z4" s="71"/>
      <c r="AA4" s="71"/>
      <c r="AB4" s="71"/>
      <c r="AC4" s="71"/>
    </row>
    <row r="5" spans="1:35" ht="15.75" customHeight="1">
      <c r="A5" s="3"/>
      <c r="B5" s="132"/>
      <c r="C5" s="132"/>
      <c r="D5" s="782" t="str">
        <f>+'Data Entry'!G4</f>
        <v>Accelerating Access -- Home-Based Care &amp; Indoor Residual Spraying</v>
      </c>
      <c r="E5" s="782"/>
      <c r="F5" s="782"/>
      <c r="G5" s="782"/>
      <c r="H5" s="782"/>
      <c r="I5" s="782"/>
      <c r="J5" s="782"/>
      <c r="K5" s="782"/>
      <c r="L5" s="782"/>
      <c r="M5" s="782"/>
      <c r="N5" s="782"/>
      <c r="P5" s="132" t="str">
        <f>+'Data Entry'!F16</f>
        <v>To:</v>
      </c>
      <c r="Q5" s="313">
        <f>+IF(ISBLANK('Data Entry'!G16),"",'Data Entry'!G16)</f>
        <v>42369</v>
      </c>
      <c r="S5" s="225"/>
      <c r="T5" s="225"/>
      <c r="U5" s="225"/>
      <c r="V5" s="225"/>
      <c r="W5" s="225"/>
      <c r="X5" s="225"/>
      <c r="Y5" s="71"/>
      <c r="Z5" s="71"/>
      <c r="AA5" s="71" t="s">
        <v>50</v>
      </c>
      <c r="AB5" s="71"/>
      <c r="AC5" s="71" t="s">
        <v>270</v>
      </c>
      <c r="AD5" s="225"/>
      <c r="AE5" s="225"/>
      <c r="AF5" s="225"/>
      <c r="AG5" s="225"/>
      <c r="AH5" s="225"/>
      <c r="AI5" s="225"/>
    </row>
    <row r="6" spans="1:35" ht="15.75" customHeight="1">
      <c r="A6" s="3"/>
      <c r="B6" s="132"/>
      <c r="C6" s="132"/>
      <c r="D6" s="224"/>
      <c r="E6" s="224"/>
      <c r="F6" s="828" t="s">
        <v>373</v>
      </c>
      <c r="G6" s="828"/>
      <c r="H6" s="828"/>
      <c r="I6" s="828"/>
      <c r="J6" s="828"/>
      <c r="K6" s="828"/>
      <c r="L6" s="224"/>
      <c r="M6" s="3"/>
      <c r="N6" s="3"/>
      <c r="O6" s="201"/>
      <c r="P6" s="245"/>
      <c r="S6" s="225"/>
      <c r="T6" s="225"/>
      <c r="U6" s="225"/>
      <c r="V6" s="225"/>
      <c r="W6" s="225"/>
      <c r="X6" s="225"/>
      <c r="Y6" s="71"/>
      <c r="Z6" s="71"/>
      <c r="AA6" s="71"/>
      <c r="AB6" s="71"/>
      <c r="AC6" s="71"/>
      <c r="AD6" s="225"/>
      <c r="AE6" s="225"/>
      <c r="AF6" s="225"/>
      <c r="AG6" s="225"/>
      <c r="AH6" s="225"/>
      <c r="AI6" s="225"/>
    </row>
    <row r="7" spans="1:35" ht="3" customHeight="1">
      <c r="A7" s="3"/>
      <c r="B7" s="132"/>
      <c r="C7" s="132"/>
      <c r="D7" s="224"/>
      <c r="E7" s="224"/>
      <c r="F7" s="224"/>
      <c r="G7" s="224"/>
      <c r="H7" s="224"/>
      <c r="I7" s="224"/>
      <c r="J7" s="224"/>
      <c r="K7" s="224"/>
      <c r="L7" s="224"/>
      <c r="M7" s="3"/>
      <c r="N7" s="3"/>
      <c r="O7" s="201"/>
      <c r="P7" s="200"/>
      <c r="Q7" s="200"/>
      <c r="S7" s="225"/>
      <c r="T7" s="225"/>
      <c r="U7" s="225"/>
      <c r="V7" s="225"/>
      <c r="W7" s="225"/>
      <c r="X7" s="225"/>
      <c r="Y7" s="71"/>
      <c r="Z7" s="71"/>
      <c r="AA7" s="71"/>
      <c r="AB7" s="71"/>
      <c r="AC7" s="71"/>
      <c r="AD7" s="225"/>
      <c r="AE7" s="225"/>
      <c r="AF7" s="225"/>
      <c r="AG7" s="225"/>
      <c r="AH7" s="225"/>
      <c r="AI7" s="225"/>
    </row>
    <row r="8" spans="1:35" ht="24" customHeight="1">
      <c r="A8" s="3"/>
      <c r="B8" s="827" t="str">
        <f>+'Data Entry'!B122</f>
        <v>Percentage of population in targeted areas sprayed with IRS in the last 12 months</v>
      </c>
      <c r="C8" s="827"/>
      <c r="D8" s="827"/>
      <c r="E8" s="827"/>
      <c r="F8" s="827" t="str">
        <f>+'Data Entry'!B124</f>
        <v>Number of structures sprayed in targeted areas with IRS in the last 12 months</v>
      </c>
      <c r="G8" s="827"/>
      <c r="H8" s="827"/>
      <c r="I8" s="827"/>
      <c r="J8" s="827"/>
      <c r="K8" s="827"/>
      <c r="L8" s="827">
        <f>+'Data Entry'!B126</f>
        <v>0</v>
      </c>
      <c r="M8" s="827"/>
      <c r="N8" s="827"/>
      <c r="O8" s="827"/>
      <c r="P8" s="827"/>
      <c r="Q8" s="827"/>
      <c r="S8" s="225"/>
      <c r="T8" s="225"/>
      <c r="U8" s="225"/>
      <c r="V8" s="225"/>
      <c r="W8" s="225"/>
      <c r="X8" s="225"/>
      <c r="Y8" s="71"/>
      <c r="Z8" s="71"/>
      <c r="AA8" s="71"/>
      <c r="AB8" s="71"/>
      <c r="AC8" s="71"/>
      <c r="AD8" s="225"/>
      <c r="AE8" s="225"/>
      <c r="AF8" s="225"/>
      <c r="AG8" s="225"/>
      <c r="AH8" s="225"/>
      <c r="AI8" s="225"/>
    </row>
    <row r="9" spans="1:35" ht="111" customHeight="1">
      <c r="A9" s="3"/>
      <c r="B9" s="410" t="s">
        <v>12</v>
      </c>
      <c r="C9" s="793" t="s">
        <v>506</v>
      </c>
      <c r="D9" s="796"/>
      <c r="E9" s="797"/>
      <c r="F9" s="411" t="s">
        <v>12</v>
      </c>
      <c r="G9" s="793" t="s">
        <v>504</v>
      </c>
      <c r="H9" s="796"/>
      <c r="I9" s="796"/>
      <c r="J9" s="796"/>
      <c r="K9" s="797"/>
      <c r="L9" s="411" t="s">
        <v>13</v>
      </c>
      <c r="M9" s="793"/>
      <c r="N9" s="794"/>
      <c r="O9" s="794"/>
      <c r="P9" s="794"/>
      <c r="Q9" s="795"/>
      <c r="S9" s="225"/>
      <c r="T9" s="225"/>
      <c r="U9" s="225"/>
      <c r="V9" s="225"/>
      <c r="W9" s="225"/>
      <c r="X9" s="225"/>
      <c r="Y9" s="225"/>
      <c r="Z9" s="225"/>
      <c r="AA9" s="225"/>
      <c r="AB9" s="225"/>
      <c r="AC9" s="225"/>
      <c r="AD9" s="225"/>
      <c r="AE9" s="225"/>
      <c r="AF9" s="225"/>
      <c r="AG9" s="225"/>
      <c r="AH9" s="225"/>
      <c r="AI9" s="225"/>
    </row>
    <row r="10" spans="1:35" ht="18.75" customHeight="1">
      <c r="A10" s="3"/>
      <c r="B10" s="132"/>
      <c r="C10" s="132"/>
      <c r="D10" s="224"/>
      <c r="E10" s="224"/>
      <c r="F10" s="224"/>
      <c r="G10" s="224"/>
      <c r="H10" s="224"/>
      <c r="I10" s="224"/>
      <c r="J10" s="224"/>
      <c r="K10" s="224"/>
      <c r="L10" s="224"/>
      <c r="M10" s="3"/>
      <c r="N10" s="3"/>
      <c r="O10" s="201"/>
      <c r="P10" s="200"/>
      <c r="S10" s="225"/>
      <c r="T10" s="225"/>
      <c r="U10" s="225"/>
      <c r="V10" s="225"/>
      <c r="W10" s="225"/>
      <c r="X10" s="225"/>
      <c r="Y10" s="225"/>
      <c r="Z10" s="225"/>
      <c r="AA10" s="225"/>
      <c r="AB10" s="225"/>
      <c r="AC10" s="225"/>
      <c r="AD10" s="225"/>
      <c r="AE10" s="225"/>
      <c r="AF10" s="225"/>
      <c r="AG10" s="225"/>
      <c r="AH10" s="225"/>
      <c r="AI10" s="225"/>
    </row>
    <row r="11" spans="1:35" ht="18.75" customHeight="1">
      <c r="A11" s="3"/>
      <c r="B11" s="132"/>
      <c r="C11" s="132"/>
      <c r="D11" s="224"/>
      <c r="E11" s="224"/>
      <c r="F11" s="224"/>
      <c r="G11" s="224"/>
      <c r="H11" s="224"/>
      <c r="I11" s="224"/>
      <c r="J11" s="224"/>
      <c r="K11" s="224"/>
      <c r="L11" s="224"/>
      <c r="M11" s="3"/>
      <c r="N11" s="3"/>
      <c r="O11" s="201"/>
      <c r="P11" s="200"/>
      <c r="S11" s="225"/>
      <c r="T11" s="225"/>
      <c r="U11" s="225"/>
      <c r="V11" s="225"/>
      <c r="W11" s="225"/>
      <c r="X11" s="225"/>
      <c r="Y11" s="225"/>
      <c r="Z11" s="225"/>
      <c r="AA11" s="225"/>
      <c r="AB11" s="225"/>
      <c r="AC11" s="225"/>
      <c r="AD11" s="225"/>
      <c r="AE11" s="225"/>
      <c r="AF11" s="225"/>
      <c r="AG11" s="225"/>
      <c r="AH11" s="225"/>
      <c r="AI11" s="225"/>
    </row>
    <row r="12" spans="1:35" ht="18.75" customHeight="1">
      <c r="A12" s="3"/>
      <c r="B12" s="132"/>
      <c r="C12" s="132"/>
      <c r="D12" s="224"/>
      <c r="E12" s="224"/>
      <c r="F12" s="224"/>
      <c r="G12" s="224"/>
      <c r="H12" s="224"/>
      <c r="I12" s="224"/>
      <c r="J12" s="224"/>
      <c r="K12" s="224"/>
      <c r="L12" s="224"/>
      <c r="M12" s="3"/>
      <c r="N12" s="3"/>
      <c r="O12" s="201"/>
      <c r="P12" s="200"/>
      <c r="S12" s="225"/>
      <c r="T12" s="225"/>
      <c r="U12" s="225"/>
      <c r="V12" s="225"/>
      <c r="W12" s="225"/>
      <c r="X12" s="225"/>
      <c r="Y12" s="225"/>
      <c r="Z12" s="225"/>
      <c r="AA12" s="225"/>
      <c r="AB12" s="225"/>
      <c r="AC12" s="225"/>
      <c r="AD12" s="225"/>
      <c r="AE12" s="225"/>
      <c r="AF12" s="225"/>
      <c r="AG12" s="225"/>
      <c r="AH12" s="225"/>
      <c r="AI12" s="225"/>
    </row>
    <row r="13" spans="1:35" ht="18.75" customHeight="1">
      <c r="A13" s="3"/>
      <c r="B13" s="132"/>
      <c r="C13" s="132"/>
      <c r="D13" s="224"/>
      <c r="E13" s="224"/>
      <c r="F13" s="224"/>
      <c r="G13" s="224"/>
      <c r="H13" s="224"/>
      <c r="I13" s="224"/>
      <c r="J13" s="224"/>
      <c r="K13" s="224"/>
      <c r="L13" s="224"/>
      <c r="M13" s="3"/>
      <c r="N13" s="3"/>
      <c r="O13" s="201"/>
      <c r="P13" s="200"/>
      <c r="S13" s="225"/>
      <c r="T13" s="225"/>
      <c r="U13" s="225"/>
      <c r="V13" s="225"/>
      <c r="W13" s="225"/>
      <c r="X13" s="225"/>
      <c r="Y13" s="225"/>
      <c r="Z13" s="225"/>
      <c r="AA13" s="225"/>
      <c r="AB13" s="225"/>
      <c r="AC13" s="225"/>
      <c r="AD13" s="225"/>
      <c r="AE13" s="225"/>
      <c r="AF13" s="225"/>
      <c r="AG13" s="225"/>
      <c r="AH13" s="225"/>
      <c r="AI13" s="225"/>
    </row>
    <row r="14" spans="1:35" ht="18.75" customHeight="1">
      <c r="A14" s="3"/>
      <c r="B14" s="132"/>
      <c r="C14" s="132"/>
      <c r="D14" s="224"/>
      <c r="E14" s="224"/>
      <c r="F14" s="224"/>
      <c r="G14" s="224"/>
      <c r="H14" s="224"/>
      <c r="I14" s="224"/>
      <c r="J14" s="224"/>
      <c r="K14" s="224"/>
      <c r="L14" s="224"/>
      <c r="M14" s="3"/>
      <c r="N14" s="3"/>
      <c r="O14" s="201"/>
      <c r="P14" s="200"/>
      <c r="S14" s="225"/>
      <c r="T14" s="225"/>
      <c r="U14" s="225"/>
      <c r="V14" s="225"/>
      <c r="W14" s="225"/>
      <c r="X14" s="225"/>
      <c r="Y14" s="225"/>
      <c r="Z14" s="225"/>
      <c r="AA14" s="225"/>
      <c r="AB14" s="225"/>
      <c r="AC14" s="225"/>
      <c r="AD14" s="225"/>
      <c r="AE14" s="225"/>
      <c r="AF14" s="225"/>
      <c r="AG14" s="225"/>
      <c r="AH14" s="225"/>
      <c r="AI14" s="225"/>
    </row>
    <row r="15" spans="1:35" ht="18.75" customHeight="1">
      <c r="A15" s="3"/>
      <c r="B15" s="132"/>
      <c r="C15" s="132"/>
      <c r="D15" s="224"/>
      <c r="E15" s="224"/>
      <c r="F15" s="224"/>
      <c r="G15" s="224"/>
      <c r="H15" s="224"/>
      <c r="I15" s="224"/>
      <c r="J15" s="224"/>
      <c r="K15" s="224"/>
      <c r="L15" s="224"/>
      <c r="M15" s="3"/>
      <c r="N15" s="3"/>
      <c r="O15" s="201"/>
      <c r="P15" s="200"/>
      <c r="S15" s="225"/>
      <c r="T15" s="225"/>
      <c r="U15" s="225"/>
      <c r="V15" s="225"/>
      <c r="W15" s="225"/>
      <c r="X15" s="225"/>
      <c r="Y15" s="225"/>
      <c r="Z15" s="225"/>
      <c r="AA15" s="225"/>
      <c r="AB15" s="225"/>
      <c r="AC15" s="225"/>
      <c r="AD15" s="225"/>
      <c r="AE15" s="225"/>
      <c r="AF15" s="225"/>
      <c r="AG15" s="225"/>
      <c r="AH15" s="225"/>
      <c r="AI15" s="225"/>
    </row>
    <row r="16" spans="1:35" ht="18.75" customHeight="1">
      <c r="A16" s="3"/>
      <c r="B16" s="132"/>
      <c r="C16" s="132"/>
      <c r="D16" s="224"/>
      <c r="E16" s="224"/>
      <c r="F16" s="224"/>
      <c r="G16" s="224"/>
      <c r="H16" s="224"/>
      <c r="I16" s="224"/>
      <c r="J16" s="224"/>
      <c r="K16" s="224"/>
      <c r="L16" s="224"/>
      <c r="M16" s="3"/>
      <c r="N16" s="3"/>
      <c r="O16" s="201"/>
      <c r="P16" s="200"/>
      <c r="S16" s="225"/>
      <c r="T16" s="225"/>
      <c r="U16" s="225"/>
      <c r="V16" s="225"/>
      <c r="W16" s="225"/>
      <c r="X16" s="225"/>
      <c r="Y16" s="225"/>
      <c r="Z16" s="225"/>
      <c r="AA16" s="225"/>
      <c r="AB16" s="225"/>
      <c r="AC16" s="225"/>
      <c r="AD16" s="225"/>
      <c r="AE16" s="225"/>
      <c r="AF16" s="225"/>
      <c r="AG16" s="225"/>
      <c r="AH16" s="225"/>
      <c r="AI16" s="225"/>
    </row>
    <row r="17" spans="1:35" ht="17.25" customHeight="1">
      <c r="A17" s="3"/>
      <c r="B17" s="492"/>
      <c r="C17" s="492"/>
      <c r="D17" s="493"/>
      <c r="E17" s="224"/>
      <c r="F17" s="224"/>
      <c r="G17" s="224"/>
      <c r="H17" s="224"/>
      <c r="I17" s="224"/>
      <c r="J17" s="224"/>
      <c r="K17" s="224"/>
      <c r="L17" s="224"/>
      <c r="M17" s="3"/>
      <c r="N17" s="3"/>
      <c r="O17" s="201"/>
      <c r="P17" s="200"/>
      <c r="S17" s="225"/>
      <c r="T17" s="225"/>
      <c r="U17" s="225"/>
      <c r="V17" s="225"/>
      <c r="W17" s="225"/>
      <c r="X17" s="225"/>
      <c r="Y17" s="225"/>
      <c r="Z17" s="225"/>
      <c r="AA17" s="225"/>
      <c r="AB17" s="225"/>
      <c r="AC17" s="225"/>
      <c r="AD17" s="225"/>
      <c r="AE17" s="225"/>
      <c r="AF17" s="225"/>
      <c r="AG17" s="225"/>
      <c r="AH17" s="225"/>
      <c r="AI17" s="225"/>
    </row>
    <row r="18" spans="1:35" ht="6" customHeight="1">
      <c r="A18" s="3"/>
      <c r="B18" s="494"/>
      <c r="C18" s="492"/>
      <c r="D18" s="495"/>
      <c r="E18" s="798"/>
      <c r="F18" s="798"/>
      <c r="G18" s="798"/>
      <c r="H18" s="798"/>
      <c r="I18" s="798"/>
      <c r="J18" s="798"/>
      <c r="K18" s="798"/>
      <c r="L18" s="3"/>
      <c r="M18" s="3"/>
      <c r="N18" s="3"/>
      <c r="O18" s="3"/>
      <c r="P18" s="3"/>
      <c r="S18" s="225"/>
      <c r="T18" s="225"/>
      <c r="U18" s="225"/>
      <c r="V18" s="225"/>
      <c r="W18" s="225"/>
      <c r="X18" s="225"/>
      <c r="Y18" s="225"/>
      <c r="Z18" s="225"/>
      <c r="AA18" s="225"/>
      <c r="AB18" s="225"/>
      <c r="AC18" s="225"/>
      <c r="AD18" s="225"/>
      <c r="AE18" s="225"/>
      <c r="AF18" s="225"/>
      <c r="AG18" s="225"/>
      <c r="AH18" s="225"/>
      <c r="AI18" s="225"/>
    </row>
    <row r="19" spans="1:35" ht="21" customHeight="1">
      <c r="A19" s="3"/>
      <c r="B19" s="799" t="s">
        <v>95</v>
      </c>
      <c r="C19" s="799"/>
      <c r="D19" s="799"/>
      <c r="E19" s="143" t="s">
        <v>92</v>
      </c>
      <c r="F19" s="143" t="s">
        <v>96</v>
      </c>
      <c r="G19" s="817" t="s">
        <v>328</v>
      </c>
      <c r="H19" s="818"/>
      <c r="I19" s="819" t="s">
        <v>329</v>
      </c>
      <c r="J19" s="820"/>
      <c r="K19" s="311" t="s">
        <v>411</v>
      </c>
      <c r="L19" s="821" t="s">
        <v>99</v>
      </c>
      <c r="M19" s="822"/>
      <c r="N19" s="822"/>
      <c r="O19" s="822"/>
      <c r="P19" s="822"/>
      <c r="Q19" s="823"/>
      <c r="S19" s="65" t="s">
        <v>97</v>
      </c>
      <c r="T19" s="66">
        <v>0</v>
      </c>
      <c r="U19" s="67">
        <v>0.3</v>
      </c>
      <c r="V19" s="67">
        <v>0.6</v>
      </c>
      <c r="W19" s="67">
        <v>0.9</v>
      </c>
      <c r="X19" s="67">
        <v>1</v>
      </c>
      <c r="Y19" s="71"/>
      <c r="Z19" s="71"/>
      <c r="AA19" s="65" t="s">
        <v>97</v>
      </c>
      <c r="AB19" s="66">
        <v>0</v>
      </c>
      <c r="AC19" s="67">
        <v>0.2</v>
      </c>
      <c r="AD19" s="67">
        <v>0.4</v>
      </c>
      <c r="AE19" s="67">
        <v>0.6</v>
      </c>
      <c r="AF19" s="67">
        <v>0.8</v>
      </c>
      <c r="AG19" s="71"/>
      <c r="AH19" s="71"/>
      <c r="AI19" s="71"/>
    </row>
    <row r="20" spans="1:35" ht="82.5" customHeight="1">
      <c r="A20" s="3"/>
      <c r="B20" s="791" t="str">
        <f>+'Data Entry'!B122</f>
        <v>Percentage of population in targeted areas sprayed with IRS in the last 12 months</v>
      </c>
      <c r="C20" s="791"/>
      <c r="D20" s="791"/>
      <c r="E20" s="477">
        <f ca="1">OFFSET('Data Entry'!$G$121,1,RIGHT('Data Entry'!$C$16,LEN('Data Entry'!$C$16)-1),1,1)</f>
        <v>0</v>
      </c>
      <c r="F20" s="477">
        <f ca="1">OFFSET('Data Entry'!$G$121,2,RIGHT('Data Entry'!$C$16,LEN('Data Entry'!$C$16)-1),1,1)</f>
        <v>0</v>
      </c>
      <c r="G20" s="803">
        <f t="shared" ref="G20:G29" ca="1" si="0">+IF(ISERROR(F20/E20),0,F20/E20)</f>
        <v>0</v>
      </c>
      <c r="H20" s="804"/>
      <c r="I20" s="804"/>
      <c r="J20" s="804"/>
      <c r="K20" s="805"/>
      <c r="L20" s="792" t="s">
        <v>506</v>
      </c>
      <c r="M20" s="792"/>
      <c r="N20" s="792"/>
      <c r="O20" s="792"/>
      <c r="P20" s="792"/>
      <c r="Q20" s="792"/>
      <c r="R20" s="455"/>
      <c r="S20" s="454"/>
      <c r="T20" s="68">
        <v>0.3</v>
      </c>
      <c r="U20" s="67">
        <v>0.6</v>
      </c>
      <c r="V20" s="67">
        <v>0.9</v>
      </c>
      <c r="W20" s="67">
        <v>1</v>
      </c>
      <c r="X20" s="67">
        <v>2</v>
      </c>
      <c r="Y20" s="71"/>
      <c r="Z20" s="71"/>
      <c r="AA20" s="65" t="s">
        <v>98</v>
      </c>
      <c r="AB20" s="68">
        <v>0.2</v>
      </c>
      <c r="AC20" s="67">
        <v>0.4</v>
      </c>
      <c r="AD20" s="67">
        <v>0.6</v>
      </c>
      <c r="AE20" s="67">
        <v>0.8</v>
      </c>
      <c r="AF20" s="67">
        <v>1</v>
      </c>
      <c r="AG20" s="71"/>
      <c r="AH20" s="71"/>
      <c r="AI20" s="71"/>
    </row>
    <row r="21" spans="1:35" ht="83.25" customHeight="1">
      <c r="A21" s="3"/>
      <c r="B21" s="791" t="str">
        <f>+'Data Entry'!B124</f>
        <v>Number of structures sprayed in targeted areas with IRS in the last 12 months</v>
      </c>
      <c r="C21" s="791"/>
      <c r="D21" s="791"/>
      <c r="E21" s="144">
        <f ca="1">OFFSET('Data Entry'!$G$121,3,RIGHT('Data Entry'!$C$16,LEN('Data Entry'!$C$16)-1),1,1)</f>
        <v>0</v>
      </c>
      <c r="F21" s="144">
        <f ca="1">OFFSET('Data Entry'!$G$121,4,RIGHT('Data Entry'!$C$16,LEN('Data Entry'!$C$16)-1),1,1)</f>
        <v>0</v>
      </c>
      <c r="G21" s="803">
        <f t="shared" ca="1" si="0"/>
        <v>0</v>
      </c>
      <c r="H21" s="804"/>
      <c r="I21" s="804"/>
      <c r="J21" s="804"/>
      <c r="K21" s="805"/>
      <c r="L21" s="824" t="s">
        <v>504</v>
      </c>
      <c r="M21" s="824"/>
      <c r="N21" s="824"/>
      <c r="O21" s="824"/>
      <c r="P21" s="824"/>
      <c r="Q21" s="824"/>
      <c r="S21" s="69"/>
      <c r="T21" s="70" t="str">
        <f>"de "&amp;T19&amp;" a "&amp;T20</f>
        <v>de 0 a 0.3</v>
      </c>
      <c r="U21" s="70" t="str">
        <f>"de "&amp;U19&amp;" a "&amp;U20</f>
        <v>de 0.3 a 0.6</v>
      </c>
      <c r="V21" s="70" t="str">
        <f>"de "&amp;V19&amp;" a "&amp;V20</f>
        <v>de 0.6 a 0.9</v>
      </c>
      <c r="W21" s="70" t="str">
        <f>"de "&amp;W19&amp;" a "&amp;W20</f>
        <v>de 0.9 a 1</v>
      </c>
      <c r="X21" s="70" t="str">
        <f>"de "&amp;X19&amp;" a "&amp;X20</f>
        <v>de 1 a 2</v>
      </c>
      <c r="Y21" s="71"/>
      <c r="Z21" s="71" t="s">
        <v>271</v>
      </c>
      <c r="AA21" s="69" t="s">
        <v>270</v>
      </c>
      <c r="AB21" s="70" t="str">
        <f>"de "&amp;AB19&amp;" a "&amp;AB20</f>
        <v>de 0 a 0.2</v>
      </c>
      <c r="AC21" s="70" t="str">
        <f>"de "&amp;AC19&amp;" a "&amp;AC20</f>
        <v>de 0.2 a 0.4</v>
      </c>
      <c r="AD21" s="70" t="str">
        <f>"de "&amp;AD19&amp;" a "&amp;AD20</f>
        <v>de 0.4 a 0.6</v>
      </c>
      <c r="AE21" s="70" t="str">
        <f>"de "&amp;AE19&amp;" a "&amp;AE20</f>
        <v>de 0.6 a 0.8</v>
      </c>
      <c r="AF21" s="70" t="str">
        <f>"de "&amp;AF19&amp;" a "&amp;AF20</f>
        <v>de 0.8 a 1</v>
      </c>
      <c r="AG21" s="71"/>
      <c r="AH21" s="71"/>
      <c r="AI21" s="71"/>
    </row>
    <row r="22" spans="1:35" ht="41.25" customHeight="1">
      <c r="A22" s="3"/>
      <c r="B22" s="791">
        <f>+'Data Entry'!B126</f>
        <v>0</v>
      </c>
      <c r="C22" s="791"/>
      <c r="D22" s="791"/>
      <c r="E22" s="144">
        <f ca="1">OFFSET('Data Entry'!$G$121,5,RIGHT('Data Entry'!$C$16,LEN('Data Entry'!$C$16)-1),1,1)</f>
        <v>0</v>
      </c>
      <c r="F22" s="144">
        <f ca="1">OFFSET('Data Entry'!$G$121,6,RIGHT('Data Entry'!$C$16,LEN('Data Entry'!$C$16)-1),1,1)</f>
        <v>0</v>
      </c>
      <c r="G22" s="803">
        <f t="shared" ca="1" si="0"/>
        <v>0</v>
      </c>
      <c r="H22" s="804"/>
      <c r="I22" s="804"/>
      <c r="J22" s="804"/>
      <c r="K22" s="805"/>
      <c r="L22" s="792"/>
      <c r="M22" s="792"/>
      <c r="N22" s="792"/>
      <c r="O22" s="792"/>
      <c r="P22" s="792"/>
      <c r="Q22" s="792"/>
      <c r="S22" s="69"/>
      <c r="T22" s="67" t="e">
        <f t="shared" ref="T22:W33" si="1">IF($K20&gt;T$19,IF($K20&lt;=T$20,$K20,NA()),NA())</f>
        <v>#N/A</v>
      </c>
      <c r="U22" s="67" t="e">
        <f t="shared" si="1"/>
        <v>#N/A</v>
      </c>
      <c r="V22" s="67" t="e">
        <f t="shared" si="1"/>
        <v>#N/A</v>
      </c>
      <c r="W22" s="67" t="e">
        <f t="shared" si="1"/>
        <v>#N/A</v>
      </c>
      <c r="X22" s="67" t="e">
        <f>IF($K20&gt;X$19,IF($K20&lt;=X$20,1,NA()),NA())</f>
        <v>#N/A</v>
      </c>
      <c r="Y22" s="71"/>
      <c r="Z22" s="197" t="e">
        <f>+'Grant Detail'!#REF!</f>
        <v>#REF!</v>
      </c>
      <c r="AA22" s="67" t="e">
        <f>+IF(Z22="A1",1,IF(Z22="A2",0.8,IF(Z22="B1",0.6,IF(Z22="B2",0.4,0.2))))</f>
        <v>#REF!</v>
      </c>
      <c r="AB22" s="67" t="e">
        <f>IF($AA22&gt;AB$19,IF($AA22&lt;=AB$20,$AA22,NA()),NA())</f>
        <v>#REF!</v>
      </c>
      <c r="AC22" s="67" t="e">
        <f t="shared" ref="AC22:AF24" si="2">IF($AA22&gt;AC$19,IF($AA22&lt;=AC$20,$AA22,NA()),NA())</f>
        <v>#REF!</v>
      </c>
      <c r="AD22" s="67" t="e">
        <f t="shared" si="2"/>
        <v>#REF!</v>
      </c>
      <c r="AE22" s="67" t="e">
        <f t="shared" si="2"/>
        <v>#REF!</v>
      </c>
      <c r="AF22" s="67" t="e">
        <f t="shared" si="2"/>
        <v>#REF!</v>
      </c>
      <c r="AG22" s="71"/>
      <c r="AH22" s="71"/>
      <c r="AI22" s="71"/>
    </row>
    <row r="23" spans="1:35" ht="75" customHeight="1">
      <c r="A23" s="3"/>
      <c r="B23" s="812">
        <f>+'Data Entry'!B128</f>
        <v>0</v>
      </c>
      <c r="C23" s="813"/>
      <c r="D23" s="814"/>
      <c r="E23" s="144">
        <f ca="1">OFFSET('Data Entry'!$G$121,7,RIGHT('Data Entry'!$C$16,LEN('Data Entry'!$C$16)-1),1,1)</f>
        <v>0</v>
      </c>
      <c r="F23" s="144">
        <f ca="1">OFFSET('Data Entry'!$G$121,8,RIGHT('Data Entry'!$C$16,LEN('Data Entry'!$C$16)-1),1,1)</f>
        <v>0</v>
      </c>
      <c r="G23" s="803">
        <f t="shared" ca="1" si="0"/>
        <v>0</v>
      </c>
      <c r="H23" s="804"/>
      <c r="I23" s="804"/>
      <c r="J23" s="804"/>
      <c r="K23" s="805"/>
      <c r="L23" s="792"/>
      <c r="M23" s="792"/>
      <c r="N23" s="792"/>
      <c r="O23" s="792"/>
      <c r="P23" s="792"/>
      <c r="Q23" s="792"/>
      <c r="S23" s="69"/>
      <c r="T23" s="67" t="e">
        <f t="shared" si="1"/>
        <v>#N/A</v>
      </c>
      <c r="U23" s="67" t="e">
        <f t="shared" si="1"/>
        <v>#N/A</v>
      </c>
      <c r="V23" s="67" t="e">
        <f t="shared" si="1"/>
        <v>#N/A</v>
      </c>
      <c r="W23" s="67" t="e">
        <f t="shared" si="1"/>
        <v>#N/A</v>
      </c>
      <c r="X23" s="67" t="e">
        <f>IF($K21&gt;X$19,IF($K21&lt;=X$20,1,1),NA())</f>
        <v>#N/A</v>
      </c>
      <c r="Y23" s="71"/>
      <c r="Z23" s="197" t="e">
        <f>+'Grant Detail'!#REF!</f>
        <v>#REF!</v>
      </c>
      <c r="AA23" s="67" t="e">
        <f>+IF(Z23="A1",1,IF(Z23="A2",0.8,IF(Z23="B1",0.6,IF(Z23="B2",0.4,0.2))))</f>
        <v>#REF!</v>
      </c>
      <c r="AB23" s="67" t="e">
        <f>IF($AA23&gt;AB$19,IF($AA23&lt;=AB$20,$AA23,NA()),NA())</f>
        <v>#REF!</v>
      </c>
      <c r="AC23" s="67" t="e">
        <f t="shared" si="2"/>
        <v>#REF!</v>
      </c>
      <c r="AD23" s="67" t="e">
        <f t="shared" si="2"/>
        <v>#REF!</v>
      </c>
      <c r="AE23" s="67" t="e">
        <f t="shared" si="2"/>
        <v>#REF!</v>
      </c>
      <c r="AF23" s="67" t="e">
        <f t="shared" si="2"/>
        <v>#REF!</v>
      </c>
      <c r="AG23" s="71"/>
      <c r="AH23" s="71"/>
      <c r="AI23" s="71"/>
    </row>
    <row r="24" spans="1:35" ht="65.25" customHeight="1">
      <c r="A24" s="3"/>
      <c r="B24" s="791">
        <f>+'Data Entry'!B130</f>
        <v>0</v>
      </c>
      <c r="C24" s="791"/>
      <c r="D24" s="791"/>
      <c r="E24" s="517">
        <f ca="1">OFFSET('Data Entry'!$G$121,9,RIGHT('Data Entry'!$C$16,LEN('Data Entry'!$C$16)-1),1,1)</f>
        <v>0</v>
      </c>
      <c r="F24" s="517">
        <f ca="1">OFFSET('Data Entry'!$G$121,10,RIGHT('Data Entry'!$C$16,LEN('Data Entry'!$C$16)-1),1,1)</f>
        <v>0</v>
      </c>
      <c r="G24" s="803">
        <f t="shared" ca="1" si="0"/>
        <v>0</v>
      </c>
      <c r="H24" s="804"/>
      <c r="I24" s="804"/>
      <c r="J24" s="804"/>
      <c r="K24" s="805"/>
      <c r="L24" s="792"/>
      <c r="M24" s="792"/>
      <c r="N24" s="792"/>
      <c r="O24" s="792"/>
      <c r="P24" s="792"/>
      <c r="Q24" s="792"/>
      <c r="S24" s="69"/>
      <c r="T24" s="67" t="e">
        <f t="shared" si="1"/>
        <v>#N/A</v>
      </c>
      <c r="U24" s="67" t="e">
        <f t="shared" si="1"/>
        <v>#N/A</v>
      </c>
      <c r="V24" s="67" t="e">
        <f t="shared" si="1"/>
        <v>#N/A</v>
      </c>
      <c r="W24" s="67" t="e">
        <f t="shared" si="1"/>
        <v>#N/A</v>
      </c>
      <c r="X24" s="67" t="e">
        <f t="shared" ref="X24:X33" si="3">IF($K22&gt;X$19,IF($K22&lt;=X$20,1,NA()),NA())</f>
        <v>#N/A</v>
      </c>
      <c r="Y24" s="71"/>
      <c r="Z24" s="197" t="e">
        <f>+'Grant Detail'!#REF!</f>
        <v>#REF!</v>
      </c>
      <c r="AA24" s="67" t="e">
        <f>+IF(Z24="A1",1,IF(Z24="A2",0.8,IF(Z24="B1",0.6,IF(Z24="B2",0.4,0.2))))</f>
        <v>#REF!</v>
      </c>
      <c r="AB24" s="67" t="e">
        <f>IF($AA24&gt;AB$19,IF($AA24&lt;=AB$20,$AA24,NA()),NA())</f>
        <v>#REF!</v>
      </c>
      <c r="AC24" s="67" t="e">
        <f t="shared" si="2"/>
        <v>#REF!</v>
      </c>
      <c r="AD24" s="67" t="e">
        <f t="shared" si="2"/>
        <v>#REF!</v>
      </c>
      <c r="AE24" s="67" t="e">
        <f t="shared" si="2"/>
        <v>#REF!</v>
      </c>
      <c r="AF24" s="67" t="e">
        <f t="shared" si="2"/>
        <v>#REF!</v>
      </c>
      <c r="AG24" s="71"/>
      <c r="AH24" s="71"/>
      <c r="AI24" s="71"/>
    </row>
    <row r="25" spans="1:35" ht="48.75" customHeight="1">
      <c r="A25" s="3"/>
      <c r="B25" s="791">
        <f>+'Data Entry'!B132</f>
        <v>0</v>
      </c>
      <c r="C25" s="791"/>
      <c r="D25" s="791"/>
      <c r="E25" s="144">
        <f ca="1">OFFSET('Data Entry'!$G$121,11,RIGHT('Data Entry'!$C$16,LEN('Data Entry'!$C$16)-1),1,1)</f>
        <v>0</v>
      </c>
      <c r="F25" s="144">
        <f ca="1">OFFSET('Data Entry'!$G$121,12,RIGHT('Data Entry'!$C$16,LEN('Data Entry'!$C$16)-1),1,1)</f>
        <v>0</v>
      </c>
      <c r="G25" s="803">
        <f t="shared" ca="1" si="0"/>
        <v>0</v>
      </c>
      <c r="H25" s="804"/>
      <c r="I25" s="804"/>
      <c r="J25" s="804"/>
      <c r="K25" s="805"/>
      <c r="L25" s="792"/>
      <c r="M25" s="792"/>
      <c r="N25" s="792"/>
      <c r="O25" s="792"/>
      <c r="P25" s="792"/>
      <c r="Q25" s="792"/>
      <c r="S25" s="69"/>
      <c r="T25" s="67" t="e">
        <f t="shared" si="1"/>
        <v>#N/A</v>
      </c>
      <c r="U25" s="67" t="e">
        <f t="shared" si="1"/>
        <v>#N/A</v>
      </c>
      <c r="V25" s="67" t="e">
        <f t="shared" si="1"/>
        <v>#N/A</v>
      </c>
      <c r="W25" s="67" t="e">
        <f t="shared" si="1"/>
        <v>#N/A</v>
      </c>
      <c r="X25" s="67" t="e">
        <f t="shared" si="3"/>
        <v>#N/A</v>
      </c>
      <c r="Y25" s="71"/>
      <c r="Z25" s="71"/>
      <c r="AA25" s="71"/>
      <c r="AB25" s="71"/>
      <c r="AC25" s="71"/>
      <c r="AD25" s="71"/>
      <c r="AE25" s="71"/>
      <c r="AF25" s="71"/>
      <c r="AG25" s="71"/>
      <c r="AH25" s="71"/>
      <c r="AI25" s="71"/>
    </row>
    <row r="26" spans="1:35" ht="24" customHeight="1">
      <c r="A26" s="3"/>
      <c r="B26" s="791">
        <f>+'Data Entry'!B134</f>
        <v>0</v>
      </c>
      <c r="C26" s="791"/>
      <c r="D26" s="791"/>
      <c r="E26" s="144">
        <f ca="1">OFFSET('Data Entry'!$G$121,13,RIGHT('Data Entry'!$C$16,LEN('Data Entry'!$C$16)-1),1,1)</f>
        <v>0</v>
      </c>
      <c r="F26" s="144">
        <f ca="1">OFFSET('Data Entry'!$G$121,14,RIGHT('Data Entry'!$C$16,LEN('Data Entry'!$C$16)-1),1,1)</f>
        <v>0</v>
      </c>
      <c r="G26" s="803">
        <f t="shared" ca="1" si="0"/>
        <v>0</v>
      </c>
      <c r="H26" s="804"/>
      <c r="I26" s="804"/>
      <c r="J26" s="804"/>
      <c r="K26" s="805"/>
      <c r="L26" s="792"/>
      <c r="M26" s="792"/>
      <c r="N26" s="792"/>
      <c r="O26" s="792"/>
      <c r="P26" s="792"/>
      <c r="Q26" s="792"/>
      <c r="S26" s="69"/>
      <c r="T26" s="67" t="e">
        <f t="shared" si="1"/>
        <v>#N/A</v>
      </c>
      <c r="U26" s="67" t="e">
        <f t="shared" si="1"/>
        <v>#N/A</v>
      </c>
      <c r="V26" s="67" t="e">
        <f t="shared" si="1"/>
        <v>#N/A</v>
      </c>
      <c r="W26" s="67" t="e">
        <f t="shared" si="1"/>
        <v>#N/A</v>
      </c>
      <c r="X26" s="67" t="e">
        <f t="shared" si="3"/>
        <v>#N/A</v>
      </c>
      <c r="Y26" s="71"/>
      <c r="Z26" s="71"/>
      <c r="AA26" s="71"/>
      <c r="AB26" s="71"/>
      <c r="AC26" s="71"/>
      <c r="AD26" s="71"/>
      <c r="AE26" s="71"/>
      <c r="AF26" s="71"/>
      <c r="AG26" s="71"/>
      <c r="AH26" s="71"/>
      <c r="AI26" s="71"/>
    </row>
    <row r="27" spans="1:35" ht="24" customHeight="1">
      <c r="A27" s="3"/>
      <c r="B27" s="811">
        <f>+'Data Entry'!B136</f>
        <v>0</v>
      </c>
      <c r="C27" s="791"/>
      <c r="D27" s="791"/>
      <c r="E27" s="491">
        <f ca="1">OFFSET('Data Entry'!$G$121,15,RIGHT('Data Entry'!$C$16,LEN('Data Entry'!$C$16)-1),1,1)</f>
        <v>0</v>
      </c>
      <c r="F27" s="491">
        <f ca="1">OFFSET('Data Entry'!$G$121,16,RIGHT('Data Entry'!$C$16,LEN('Data Entry'!$C$16)-1),1,1)</f>
        <v>0</v>
      </c>
      <c r="G27" s="803">
        <f ca="1">+IF(ISERROR(F27/E27),0,F27/E27)</f>
        <v>0</v>
      </c>
      <c r="H27" s="804"/>
      <c r="I27" s="804"/>
      <c r="J27" s="804"/>
      <c r="K27" s="805"/>
      <c r="L27" s="792"/>
      <c r="M27" s="792"/>
      <c r="N27" s="792"/>
      <c r="O27" s="792"/>
      <c r="P27" s="792"/>
      <c r="Q27" s="792"/>
      <c r="S27" s="69"/>
      <c r="T27" s="67" t="e">
        <f t="shared" si="1"/>
        <v>#N/A</v>
      </c>
      <c r="U27" s="67" t="e">
        <f t="shared" si="1"/>
        <v>#N/A</v>
      </c>
      <c r="V27" s="67" t="e">
        <f t="shared" si="1"/>
        <v>#N/A</v>
      </c>
      <c r="W27" s="67" t="e">
        <f t="shared" si="1"/>
        <v>#N/A</v>
      </c>
      <c r="X27" s="67" t="e">
        <f t="shared" si="3"/>
        <v>#N/A</v>
      </c>
      <c r="Y27" s="71"/>
      <c r="Z27" s="71"/>
      <c r="AA27" s="71"/>
      <c r="AB27" s="71"/>
      <c r="AC27" s="71"/>
      <c r="AD27" s="71"/>
      <c r="AE27" s="71"/>
      <c r="AF27" s="71"/>
      <c r="AG27" s="71"/>
      <c r="AH27" s="71"/>
      <c r="AI27" s="71"/>
    </row>
    <row r="28" spans="1:35" ht="24" customHeight="1">
      <c r="A28" s="3"/>
      <c r="B28" s="791">
        <f>+'Data Entry'!B138</f>
        <v>0</v>
      </c>
      <c r="C28" s="791"/>
      <c r="D28" s="791"/>
      <c r="E28" s="491">
        <f ca="1">OFFSET('Data Entry'!$G$121,17,RIGHT('Data Entry'!$C$16,LEN('Data Entry'!$C$16)-1),1,1)</f>
        <v>0</v>
      </c>
      <c r="F28" s="491">
        <f ca="1">OFFSET('Data Entry'!$G$121,18,RIGHT('Data Entry'!$C$16,LEN('Data Entry'!$C$16)-1),1,1)</f>
        <v>0</v>
      </c>
      <c r="G28" s="803">
        <f ca="1">+IF(ISERROR(F28/E28),0,F28/E28)</f>
        <v>0</v>
      </c>
      <c r="H28" s="804"/>
      <c r="I28" s="804"/>
      <c r="J28" s="804"/>
      <c r="K28" s="805"/>
      <c r="L28" s="792"/>
      <c r="M28" s="792"/>
      <c r="N28" s="792"/>
      <c r="O28" s="792"/>
      <c r="P28" s="792"/>
      <c r="Q28" s="792"/>
      <c r="S28" s="69"/>
      <c r="T28" s="67" t="e">
        <f t="shared" si="1"/>
        <v>#N/A</v>
      </c>
      <c r="U28" s="67" t="e">
        <f t="shared" si="1"/>
        <v>#N/A</v>
      </c>
      <c r="V28" s="67" t="e">
        <f t="shared" si="1"/>
        <v>#N/A</v>
      </c>
      <c r="W28" s="67" t="e">
        <f t="shared" si="1"/>
        <v>#N/A</v>
      </c>
      <c r="X28" s="67" t="e">
        <f t="shared" si="3"/>
        <v>#N/A</v>
      </c>
      <c r="Y28" s="71"/>
      <c r="Z28" s="71"/>
      <c r="AA28" s="71"/>
      <c r="AB28" s="71"/>
      <c r="AC28" s="71"/>
      <c r="AD28" s="71"/>
      <c r="AE28" s="71"/>
      <c r="AF28" s="71"/>
      <c r="AG28" s="71"/>
      <c r="AH28" s="71"/>
      <c r="AI28" s="71"/>
    </row>
    <row r="29" spans="1:35" ht="25.5" customHeight="1">
      <c r="A29" s="3"/>
      <c r="B29" s="812"/>
      <c r="C29" s="813"/>
      <c r="D29" s="814"/>
      <c r="E29" s="491"/>
      <c r="F29" s="491"/>
      <c r="G29" s="806">
        <f t="shared" si="0"/>
        <v>0</v>
      </c>
      <c r="H29" s="807"/>
      <c r="I29" s="807"/>
      <c r="J29" s="807"/>
      <c r="K29" s="808"/>
      <c r="L29" s="792"/>
      <c r="M29" s="792"/>
      <c r="N29" s="792"/>
      <c r="O29" s="792"/>
      <c r="P29" s="792"/>
      <c r="Q29" s="792"/>
      <c r="S29" s="69"/>
      <c r="T29" s="67" t="e">
        <f t="shared" si="1"/>
        <v>#N/A</v>
      </c>
      <c r="U29" s="67" t="e">
        <f t="shared" si="1"/>
        <v>#N/A</v>
      </c>
      <c r="V29" s="67" t="e">
        <f t="shared" si="1"/>
        <v>#N/A</v>
      </c>
      <c r="W29" s="67" t="e">
        <f t="shared" si="1"/>
        <v>#N/A</v>
      </c>
      <c r="X29" s="67" t="e">
        <f t="shared" si="3"/>
        <v>#N/A</v>
      </c>
      <c r="Y29" s="71"/>
      <c r="Z29" s="71"/>
      <c r="AA29" s="71"/>
      <c r="AB29" s="71"/>
      <c r="AC29" s="71"/>
      <c r="AD29" s="71"/>
      <c r="AE29" s="71"/>
      <c r="AF29" s="71"/>
      <c r="AG29" s="71"/>
      <c r="AH29" s="71"/>
      <c r="AI29" s="71"/>
    </row>
    <row r="30" spans="1:35" ht="22.5" customHeight="1">
      <c r="A30" s="3"/>
      <c r="B30" s="810"/>
      <c r="C30" s="810"/>
      <c r="D30" s="810"/>
      <c r="E30" s="810"/>
      <c r="F30" s="809"/>
      <c r="G30" s="809"/>
      <c r="H30" s="809"/>
      <c r="I30" s="809"/>
      <c r="J30" s="809"/>
      <c r="K30" s="809"/>
      <c r="L30" s="816"/>
      <c r="M30" s="816"/>
      <c r="N30" s="816"/>
      <c r="O30" s="816"/>
      <c r="P30" s="816"/>
      <c r="S30" s="69"/>
      <c r="T30" s="67" t="e">
        <f t="shared" si="1"/>
        <v>#N/A</v>
      </c>
      <c r="U30" s="67" t="e">
        <f t="shared" si="1"/>
        <v>#N/A</v>
      </c>
      <c r="V30" s="67" t="e">
        <f t="shared" si="1"/>
        <v>#N/A</v>
      </c>
      <c r="W30" s="67" t="e">
        <f t="shared" si="1"/>
        <v>#N/A</v>
      </c>
      <c r="X30" s="67" t="e">
        <f t="shared" si="3"/>
        <v>#N/A</v>
      </c>
      <c r="Y30" s="71"/>
      <c r="Z30" s="71"/>
      <c r="AA30" s="71"/>
      <c r="AB30" s="71"/>
      <c r="AC30" s="71"/>
      <c r="AD30" s="71"/>
      <c r="AE30" s="71"/>
      <c r="AF30" s="71"/>
      <c r="AG30" s="71"/>
      <c r="AH30" s="71"/>
      <c r="AI30" s="71"/>
    </row>
    <row r="31" spans="1:35" ht="22.5" customHeight="1">
      <c r="A31" s="3"/>
      <c r="B31" s="815"/>
      <c r="C31" s="815"/>
      <c r="D31" s="815"/>
      <c r="E31" s="802"/>
      <c r="F31" s="800"/>
      <c r="G31" s="801"/>
      <c r="H31" s="801"/>
      <c r="I31" s="801"/>
      <c r="J31" s="801"/>
      <c r="K31" s="802"/>
      <c r="L31" s="800"/>
      <c r="M31" s="801"/>
      <c r="N31" s="801"/>
      <c r="O31" s="801"/>
      <c r="P31" s="801"/>
      <c r="S31" s="69"/>
      <c r="T31" s="67" t="e">
        <f t="shared" si="1"/>
        <v>#N/A</v>
      </c>
      <c r="U31" s="67" t="e">
        <f t="shared" si="1"/>
        <v>#N/A</v>
      </c>
      <c r="V31" s="67" t="e">
        <f t="shared" si="1"/>
        <v>#N/A</v>
      </c>
      <c r="W31" s="67" t="e">
        <f t="shared" si="1"/>
        <v>#N/A</v>
      </c>
      <c r="X31" s="67" t="e">
        <f t="shared" si="3"/>
        <v>#N/A</v>
      </c>
      <c r="Y31" s="71"/>
      <c r="Z31" s="71"/>
      <c r="AA31" s="71"/>
      <c r="AB31" s="71"/>
      <c r="AC31" s="71"/>
      <c r="AD31" s="71"/>
      <c r="AE31" s="71"/>
      <c r="AF31" s="71"/>
      <c r="AG31" s="71"/>
      <c r="AH31" s="71"/>
      <c r="AI31" s="71"/>
    </row>
    <row r="32" spans="1:35">
      <c r="A32" s="3"/>
      <c r="B32" s="226"/>
      <c r="C32" s="226"/>
      <c r="D32" s="226"/>
      <c r="E32" s="226"/>
      <c r="F32" s="226"/>
      <c r="G32" s="226"/>
      <c r="H32" s="227"/>
      <c r="I32" s="226"/>
      <c r="J32" s="226"/>
      <c r="K32" s="226"/>
      <c r="L32" s="226"/>
      <c r="M32" s="226"/>
      <c r="N32" s="226"/>
      <c r="O32" s="226"/>
      <c r="P32" s="226"/>
      <c r="S32" s="69"/>
      <c r="T32" s="67" t="e">
        <f t="shared" si="1"/>
        <v>#N/A</v>
      </c>
      <c r="U32" s="67" t="e">
        <f t="shared" si="1"/>
        <v>#N/A</v>
      </c>
      <c r="V32" s="67" t="e">
        <f t="shared" si="1"/>
        <v>#N/A</v>
      </c>
      <c r="W32" s="67" t="e">
        <f t="shared" si="1"/>
        <v>#N/A</v>
      </c>
      <c r="X32" s="67" t="e">
        <f t="shared" si="3"/>
        <v>#N/A</v>
      </c>
      <c r="Y32" s="71"/>
      <c r="Z32" s="71"/>
      <c r="AA32" s="71"/>
      <c r="AB32" s="71"/>
      <c r="AC32" s="71"/>
      <c r="AD32" s="71"/>
      <c r="AE32" s="71"/>
      <c r="AF32" s="71"/>
      <c r="AG32" s="71"/>
      <c r="AH32" s="71"/>
      <c r="AI32" s="71"/>
    </row>
    <row r="33" spans="1:35">
      <c r="A33" s="3"/>
      <c r="B33" s="825"/>
      <c r="C33" s="825"/>
      <c r="D33" s="825"/>
      <c r="E33" s="825"/>
      <c r="F33" s="825"/>
      <c r="G33" s="825"/>
      <c r="H33" s="825"/>
      <c r="I33" s="825"/>
      <c r="J33" s="825"/>
      <c r="K33" s="825"/>
      <c r="L33" s="226"/>
      <c r="M33" s="226"/>
      <c r="N33" s="226"/>
      <c r="O33" s="226"/>
      <c r="P33" s="226"/>
      <c r="S33" s="69"/>
      <c r="T33" s="67" t="e">
        <f t="shared" si="1"/>
        <v>#N/A</v>
      </c>
      <c r="U33" s="67" t="e">
        <f t="shared" si="1"/>
        <v>#N/A</v>
      </c>
      <c r="V33" s="67" t="e">
        <f t="shared" si="1"/>
        <v>#N/A</v>
      </c>
      <c r="W33" s="67" t="e">
        <f t="shared" si="1"/>
        <v>#N/A</v>
      </c>
      <c r="X33" s="67" t="e">
        <f t="shared" si="3"/>
        <v>#N/A</v>
      </c>
      <c r="Y33" s="71"/>
      <c r="Z33" s="71"/>
      <c r="AA33" s="71"/>
      <c r="AB33" s="71"/>
      <c r="AC33" s="71"/>
      <c r="AD33" s="71"/>
      <c r="AE33" s="71"/>
      <c r="AF33" s="71"/>
      <c r="AG33" s="71"/>
      <c r="AH33" s="71"/>
      <c r="AI33" s="71"/>
    </row>
    <row r="34" spans="1:35">
      <c r="A34" s="3"/>
      <c r="B34" s="825"/>
      <c r="C34" s="825"/>
      <c r="D34" s="825"/>
      <c r="E34" s="825"/>
      <c r="F34" s="825"/>
      <c r="G34" s="825"/>
      <c r="H34" s="825"/>
      <c r="I34" s="825"/>
      <c r="J34" s="825"/>
      <c r="K34" s="825"/>
      <c r="L34" s="226"/>
      <c r="M34" s="226"/>
      <c r="N34" s="226"/>
      <c r="O34" s="226"/>
      <c r="P34" s="226"/>
      <c r="S34" s="71"/>
      <c r="T34" s="71"/>
      <c r="U34" s="71"/>
      <c r="V34" s="71"/>
      <c r="W34" s="71"/>
      <c r="X34" s="71"/>
      <c r="Y34" s="71"/>
      <c r="Z34" s="71"/>
      <c r="AA34" s="71"/>
      <c r="AB34" s="71"/>
      <c r="AC34" s="71"/>
      <c r="AD34" s="71"/>
      <c r="AE34" s="71"/>
      <c r="AF34" s="71"/>
      <c r="AG34" s="71"/>
      <c r="AH34" s="71"/>
      <c r="AI34" s="71"/>
    </row>
    <row r="35" spans="1:35">
      <c r="A35" s="3"/>
      <c r="B35" s="3"/>
      <c r="C35" s="3"/>
      <c r="D35" s="3"/>
      <c r="E35" s="3"/>
      <c r="F35" s="3"/>
      <c r="G35" s="3"/>
      <c r="H35" s="3"/>
      <c r="I35" s="99"/>
      <c r="J35" s="99"/>
      <c r="K35" s="99"/>
      <c r="L35" s="3"/>
      <c r="M35" s="3"/>
      <c r="N35" s="3"/>
      <c r="O35" s="3"/>
      <c r="P35" s="3"/>
      <c r="S35" s="71"/>
      <c r="T35" s="71"/>
      <c r="U35" s="71"/>
      <c r="V35" s="71"/>
      <c r="W35" s="71"/>
      <c r="X35" s="71"/>
      <c r="Y35" s="71"/>
      <c r="Z35" s="71"/>
      <c r="AA35" s="71"/>
      <c r="AB35" s="71"/>
      <c r="AC35" s="71"/>
      <c r="AD35" s="71"/>
      <c r="AE35" s="71"/>
      <c r="AF35" s="71"/>
      <c r="AG35" s="71"/>
      <c r="AH35" s="71"/>
      <c r="AI35" s="71"/>
    </row>
    <row r="36" spans="1:35">
      <c r="A36" s="3"/>
      <c r="B36" s="3"/>
      <c r="C36" s="3"/>
      <c r="D36" s="3"/>
      <c r="E36" s="3"/>
      <c r="F36" s="3"/>
      <c r="G36" s="3"/>
      <c r="H36" s="3"/>
      <c r="I36" s="145"/>
      <c r="J36" s="146"/>
      <c r="K36" s="146"/>
      <c r="L36" s="3"/>
      <c r="M36" s="3"/>
      <c r="N36" s="3"/>
      <c r="O36" s="3"/>
      <c r="P36" s="3"/>
      <c r="S36" s="71"/>
      <c r="T36" s="71"/>
      <c r="U36" s="71"/>
      <c r="V36" s="71"/>
      <c r="W36" s="71"/>
      <c r="X36" s="71"/>
      <c r="Y36" s="71"/>
      <c r="Z36" s="71"/>
      <c r="AA36" s="71"/>
      <c r="AB36" s="71"/>
      <c r="AC36" s="71"/>
      <c r="AD36" s="71"/>
      <c r="AE36" s="71"/>
      <c r="AF36" s="71"/>
      <c r="AG36" s="71"/>
      <c r="AH36" s="71"/>
      <c r="AI36" s="71"/>
    </row>
    <row r="37" spans="1:35">
      <c r="A37" s="3"/>
      <c r="B37" s="3"/>
      <c r="C37" s="3"/>
      <c r="D37" s="3"/>
      <c r="E37" s="3"/>
      <c r="F37" s="3"/>
      <c r="G37" s="3"/>
      <c r="H37" s="3"/>
      <c r="I37" s="147"/>
      <c r="J37" s="148"/>
      <c r="K37" s="101"/>
      <c r="L37" s="3"/>
      <c r="M37" s="3"/>
      <c r="N37" s="3"/>
      <c r="O37" s="3"/>
      <c r="P37" s="3"/>
      <c r="S37" s="71"/>
      <c r="T37" s="71"/>
      <c r="U37" s="71"/>
      <c r="V37" s="71"/>
      <c r="W37" s="71"/>
      <c r="X37" s="71"/>
      <c r="Y37" s="71"/>
      <c r="Z37" s="71"/>
      <c r="AA37" s="71"/>
      <c r="AB37" s="71"/>
      <c r="AC37" s="71"/>
      <c r="AD37" s="71"/>
      <c r="AE37" s="71"/>
      <c r="AF37" s="71"/>
      <c r="AG37" s="71"/>
      <c r="AH37" s="71"/>
      <c r="AI37" s="71"/>
    </row>
    <row r="38" spans="1:35">
      <c r="A38" s="3"/>
      <c r="B38" s="3"/>
      <c r="C38" s="3"/>
      <c r="D38" s="3"/>
      <c r="E38" s="3"/>
      <c r="F38" s="3"/>
      <c r="G38" s="3"/>
      <c r="H38" s="3"/>
      <c r="I38" s="149"/>
      <c r="J38" s="148"/>
      <c r="K38" s="101"/>
      <c r="L38" s="3"/>
      <c r="M38" s="3"/>
      <c r="N38" s="3"/>
      <c r="O38" s="3"/>
      <c r="P38" s="3"/>
      <c r="S38" s="71"/>
      <c r="T38" s="71"/>
      <c r="U38" s="71"/>
      <c r="V38" s="71"/>
      <c r="W38" s="71"/>
      <c r="X38" s="71"/>
      <c r="Y38" s="71"/>
      <c r="Z38" s="71"/>
      <c r="AA38" s="71"/>
      <c r="AB38" s="71"/>
      <c r="AC38" s="71"/>
      <c r="AD38" s="71"/>
      <c r="AE38" s="71"/>
      <c r="AF38" s="71"/>
      <c r="AG38" s="71"/>
      <c r="AH38" s="71"/>
      <c r="AI38" s="71"/>
    </row>
    <row r="39" spans="1:35">
      <c r="A39" s="3"/>
      <c r="B39" s="3"/>
      <c r="C39" s="3"/>
      <c r="D39" s="3"/>
      <c r="E39" s="3"/>
      <c r="F39" s="3"/>
      <c r="G39" s="3"/>
      <c r="H39" s="3"/>
      <c r="I39" s="147"/>
      <c r="J39" s="148"/>
      <c r="K39" s="101"/>
      <c r="L39" s="3"/>
      <c r="M39" s="3"/>
      <c r="N39" s="3"/>
      <c r="O39" s="3"/>
      <c r="P39" s="3"/>
      <c r="S39" s="71"/>
      <c r="T39" s="71"/>
      <c r="U39" s="71"/>
      <c r="V39" s="71"/>
      <c r="W39" s="71"/>
      <c r="X39" s="71"/>
      <c r="Y39" s="71"/>
      <c r="Z39" s="71"/>
      <c r="AA39" s="71"/>
      <c r="AB39" s="71"/>
      <c r="AC39" s="71"/>
      <c r="AD39" s="71"/>
      <c r="AE39" s="71"/>
      <c r="AF39" s="71"/>
      <c r="AG39" s="71"/>
      <c r="AH39" s="71"/>
      <c r="AI39" s="71"/>
    </row>
    <row r="40" spans="1:35">
      <c r="A40" s="3"/>
      <c r="B40" s="3"/>
      <c r="C40" s="3"/>
      <c r="D40" s="3"/>
      <c r="E40" s="3"/>
      <c r="F40" s="3"/>
      <c r="G40" s="3"/>
      <c r="H40" s="3"/>
      <c r="I40" s="3"/>
      <c r="J40" s="3"/>
      <c r="K40" s="3"/>
      <c r="L40" s="3"/>
      <c r="M40" s="3"/>
      <c r="N40" s="3"/>
      <c r="O40" s="3"/>
      <c r="P40" s="3"/>
      <c r="S40" s="71"/>
      <c r="T40" s="71"/>
      <c r="U40" s="71"/>
      <c r="V40" s="71"/>
      <c r="W40" s="71"/>
      <c r="X40" s="71"/>
      <c r="Y40" s="71"/>
      <c r="Z40" s="71"/>
      <c r="AA40" s="71"/>
      <c r="AB40" s="71"/>
      <c r="AC40" s="71"/>
      <c r="AD40" s="71"/>
      <c r="AE40" s="71"/>
      <c r="AF40" s="71"/>
      <c r="AG40" s="71"/>
      <c r="AH40" s="71"/>
      <c r="AI40" s="71"/>
    </row>
    <row r="41" spans="1:35">
      <c r="A41" s="3"/>
      <c r="B41" s="3"/>
      <c r="C41" s="3"/>
      <c r="D41" s="3"/>
      <c r="E41" s="3"/>
      <c r="F41" s="3"/>
      <c r="G41" s="3"/>
      <c r="H41" s="3"/>
      <c r="I41" s="3"/>
      <c r="J41" s="3"/>
      <c r="K41" s="3"/>
      <c r="L41" s="3"/>
      <c r="M41" s="3"/>
      <c r="N41" s="3"/>
      <c r="O41" s="3"/>
      <c r="P41" s="3"/>
      <c r="S41" s="71"/>
      <c r="T41" s="71"/>
      <c r="U41" s="71"/>
      <c r="V41" s="71"/>
      <c r="W41" s="71"/>
      <c r="X41" s="71"/>
      <c r="Y41" s="71"/>
      <c r="Z41" s="71"/>
      <c r="AA41" s="71"/>
      <c r="AB41" s="71"/>
      <c r="AC41" s="71"/>
      <c r="AD41" s="71"/>
      <c r="AE41" s="71"/>
      <c r="AF41" s="71"/>
      <c r="AG41" s="71"/>
      <c r="AH41" s="71"/>
      <c r="AI41" s="71"/>
    </row>
    <row r="42" spans="1:35">
      <c r="A42" s="3"/>
      <c r="B42" s="3"/>
      <c r="C42" s="3"/>
      <c r="D42" s="3"/>
      <c r="E42" s="3"/>
      <c r="F42" s="3"/>
      <c r="G42" s="3"/>
      <c r="H42" s="3"/>
      <c r="I42" s="3"/>
      <c r="J42" s="3"/>
      <c r="K42" s="3"/>
      <c r="L42" s="3"/>
      <c r="M42" s="3"/>
      <c r="N42" s="3"/>
      <c r="O42" s="3"/>
      <c r="P42" s="3"/>
      <c r="S42" s="64"/>
      <c r="T42" s="64"/>
      <c r="U42" s="64"/>
      <c r="V42" s="64"/>
      <c r="W42" s="64"/>
      <c r="X42" s="64"/>
      <c r="Y42" s="64"/>
      <c r="Z42" s="64"/>
      <c r="AA42" s="64"/>
      <c r="AB42" s="64"/>
    </row>
    <row r="43" spans="1:35">
      <c r="S43" s="64"/>
      <c r="T43" s="64"/>
      <c r="U43" s="64"/>
      <c r="V43" s="64"/>
      <c r="W43" s="64"/>
      <c r="X43" s="64"/>
      <c r="Y43" s="64"/>
      <c r="Z43" s="64"/>
      <c r="AA43" s="64"/>
      <c r="AB43" s="64"/>
    </row>
    <row r="44" spans="1:35">
      <c r="S44" s="64"/>
      <c r="T44" s="64"/>
      <c r="U44" s="64"/>
      <c r="V44" s="64"/>
      <c r="W44" s="64"/>
      <c r="X44" s="64"/>
      <c r="Y44" s="64"/>
      <c r="Z44" s="64"/>
      <c r="AA44" s="64"/>
      <c r="AB44" s="64"/>
    </row>
    <row r="45" spans="1:35">
      <c r="S45" s="64"/>
      <c r="T45" s="64"/>
      <c r="U45" s="64"/>
      <c r="V45" s="64"/>
      <c r="W45" s="64"/>
      <c r="X45" s="64"/>
      <c r="Y45" s="64"/>
      <c r="Z45" s="64"/>
      <c r="AA45" s="64"/>
      <c r="AB45" s="64"/>
    </row>
    <row r="46" spans="1:35">
      <c r="S46" s="64"/>
      <c r="T46" s="64"/>
      <c r="U46" s="64"/>
      <c r="V46" s="64"/>
      <c r="W46" s="64"/>
      <c r="X46" s="64"/>
      <c r="Y46" s="64"/>
      <c r="Z46" s="64"/>
      <c r="AA46" s="64"/>
      <c r="AB46" s="64"/>
    </row>
  </sheetData>
  <sheetProtection password="CFC9" sheet="1" objects="1" scenarios="1"/>
  <mergeCells count="58">
    <mergeCell ref="B2:Q2"/>
    <mergeCell ref="O3:P3"/>
    <mergeCell ref="D5:N5"/>
    <mergeCell ref="L8:Q8"/>
    <mergeCell ref="F6:K6"/>
    <mergeCell ref="E3:K3"/>
    <mergeCell ref="C4:D4"/>
    <mergeCell ref="C3:D3"/>
    <mergeCell ref="E4:L4"/>
    <mergeCell ref="B8:E8"/>
    <mergeCell ref="F8:K8"/>
    <mergeCell ref="B33:D34"/>
    <mergeCell ref="E33:G34"/>
    <mergeCell ref="H33:K34"/>
    <mergeCell ref="B23:D23"/>
    <mergeCell ref="B24:D24"/>
    <mergeCell ref="B25:D25"/>
    <mergeCell ref="G23:K23"/>
    <mergeCell ref="G24:K24"/>
    <mergeCell ref="G25:K25"/>
    <mergeCell ref="G26:K26"/>
    <mergeCell ref="B26:D26"/>
    <mergeCell ref="L27:Q27"/>
    <mergeCell ref="G19:H19"/>
    <mergeCell ref="I19:J19"/>
    <mergeCell ref="L19:Q19"/>
    <mergeCell ref="L25:Q25"/>
    <mergeCell ref="L20:Q20"/>
    <mergeCell ref="L21:Q21"/>
    <mergeCell ref="G20:K20"/>
    <mergeCell ref="G21:K21"/>
    <mergeCell ref="G22:K22"/>
    <mergeCell ref="L29:Q29"/>
    <mergeCell ref="F31:K31"/>
    <mergeCell ref="B21:D21"/>
    <mergeCell ref="G28:K28"/>
    <mergeCell ref="G29:K29"/>
    <mergeCell ref="F30:K30"/>
    <mergeCell ref="B30:E30"/>
    <mergeCell ref="B27:D27"/>
    <mergeCell ref="B22:D22"/>
    <mergeCell ref="B29:D29"/>
    <mergeCell ref="G27:K27"/>
    <mergeCell ref="B31:E31"/>
    <mergeCell ref="L31:P31"/>
    <mergeCell ref="L30:P30"/>
    <mergeCell ref="L28:Q28"/>
    <mergeCell ref="B28:D28"/>
    <mergeCell ref="M9:Q9"/>
    <mergeCell ref="C9:E9"/>
    <mergeCell ref="G9:K9"/>
    <mergeCell ref="E18:K18"/>
    <mergeCell ref="B19:D19"/>
    <mergeCell ref="B20:D20"/>
    <mergeCell ref="L22:Q22"/>
    <mergeCell ref="L23:Q23"/>
    <mergeCell ref="L24:Q24"/>
    <mergeCell ref="L26:Q26"/>
  </mergeCells>
  <phoneticPr fontId="31" type="noConversion"/>
  <conditionalFormatting sqref="C4:D4">
    <cfRule type="cellIs" dxfId="32" priority="56" stopIfTrue="1" operator="equal">
      <formula>"C"</formula>
    </cfRule>
    <cfRule type="cellIs" dxfId="31" priority="57" stopIfTrue="1" operator="equal">
      <formula>"B2"</formula>
    </cfRule>
    <cfRule type="cellIs" dxfId="30" priority="58" stopIfTrue="1" operator="equal">
      <formula>"B1"</formula>
    </cfRule>
  </conditionalFormatting>
  <conditionalFormatting sqref="G20:G26">
    <cfRule type="cellIs" dxfId="29" priority="62" stopIfTrue="1" operator="between">
      <formula>0</formula>
      <formula>0.599</formula>
    </cfRule>
    <cfRule type="cellIs" dxfId="28" priority="63" stopIfTrue="1" operator="between">
      <formula>0.6</formula>
      <formula>0.899</formula>
    </cfRule>
    <cfRule type="cellIs" dxfId="27" priority="64" stopIfTrue="1" operator="greaterThanOrEqual">
      <formula>0.9</formula>
    </cfRule>
  </conditionalFormatting>
  <conditionalFormatting sqref="G27:K29">
    <cfRule type="cellIs" dxfId="26" priority="71" stopIfTrue="1" operator="between">
      <formula>0.1</formula>
      <formula>0.599</formula>
    </cfRule>
    <cfRule type="cellIs" dxfId="25" priority="72" stopIfTrue="1" operator="between">
      <formula>0.6</formula>
      <formula>0.899</formula>
    </cfRule>
    <cfRule type="cellIs" dxfId="24" priority="73" stopIfTrue="1" operator="greaterThanOrEqual">
      <formula>0.9</formula>
    </cfRule>
  </conditionalFormatting>
  <conditionalFormatting sqref="G28">
    <cfRule type="cellIs" dxfId="23" priority="4" stopIfTrue="1" operator="between">
      <formula>0</formula>
      <formula>0.599</formula>
    </cfRule>
    <cfRule type="cellIs" dxfId="22" priority="5" stopIfTrue="1" operator="between">
      <formula>0.6</formula>
      <formula>0.899</formula>
    </cfRule>
    <cfRule type="cellIs" dxfId="21" priority="6" stopIfTrue="1" operator="greaterThanOrEqual">
      <formula>0.9</formula>
    </cfRule>
  </conditionalFormatting>
  <conditionalFormatting sqref="G27">
    <cfRule type="cellIs" dxfId="20" priority="1" stopIfTrue="1" operator="between">
      <formula>0</formula>
      <formula>0.599</formula>
    </cfRule>
    <cfRule type="cellIs" dxfId="19" priority="2" stopIfTrue="1" operator="between">
      <formula>0.6</formula>
      <formula>0.899</formula>
    </cfRule>
    <cfRule type="cellIs" dxfId="18" priority="3" stopIfTrue="1" operator="greaterThanOrEqual">
      <formula>0.9</formula>
    </cfRule>
  </conditionalFormatting>
  <pageMargins left="0.70866141732283472" right="0.70866141732283472" top="0.74803149606299213" bottom="0.74803149606299213" header="0.31496062992125984" footer="0.31496062992125984"/>
  <pageSetup paperSize="9" scale="87" orientation="landscape" r:id="rId1"/>
  <headerFooter alignWithMargins="0">
    <oddFooter>&amp;L&amp;F&amp;C&amp;A&amp;RV1.0          &amp;D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1"/>
  </sheetPr>
  <dimension ref="A1:P35"/>
  <sheetViews>
    <sheetView showGridLines="0" topLeftCell="E24" zoomScale="120" zoomScaleNormal="120" zoomScalePageLayoutView="120" workbookViewId="0">
      <selection activeCell="C28" sqref="C28"/>
    </sheetView>
  </sheetViews>
  <sheetFormatPr defaultColWidth="11" defaultRowHeight="15"/>
  <cols>
    <col min="1" max="1" width="3.28515625" customWidth="1"/>
    <col min="2" max="2" width="10.42578125" customWidth="1"/>
    <col min="3" max="3" width="12.42578125" customWidth="1"/>
    <col min="4" max="4" width="13.140625" customWidth="1"/>
    <col min="5" max="5" width="11.42578125" customWidth="1"/>
    <col min="6" max="6" width="17" customWidth="1"/>
    <col min="7" max="7" width="3.85546875" customWidth="1"/>
    <col min="8" max="8" width="9.85546875" customWidth="1"/>
    <col min="9" max="9" width="13" customWidth="1"/>
    <col min="10" max="10" width="13.7109375" customWidth="1"/>
    <col min="11" max="11" width="13.42578125" customWidth="1"/>
    <col min="12" max="12" width="14.140625" customWidth="1"/>
  </cols>
  <sheetData>
    <row r="1" spans="1:16" ht="28.5" customHeight="1">
      <c r="C1" s="230"/>
      <c r="E1" s="231"/>
    </row>
    <row r="2" spans="1:16" ht="27.75" customHeight="1">
      <c r="B2" s="841" t="str">
        <f>'Grant Detail'!B3:J3</f>
        <v>Dashboard:  Ghana - MALARIA  (AngloGold Asanti (Ghana) Malaria Ltd)</v>
      </c>
      <c r="C2" s="841"/>
      <c r="D2" s="841"/>
      <c r="E2" s="841"/>
      <c r="F2" s="841"/>
      <c r="G2" s="841"/>
      <c r="H2" s="841"/>
      <c r="I2" s="841"/>
      <c r="J2" s="841"/>
      <c r="K2" s="841"/>
      <c r="L2" s="841"/>
      <c r="M2" s="26"/>
      <c r="N2" s="26"/>
      <c r="O2" s="26"/>
      <c r="P2" s="26"/>
    </row>
    <row r="3" spans="1:16">
      <c r="B3" s="24" t="str">
        <f>+IF('Data Entry'!G8="Please Select","",'Data Entry'!G8)</f>
        <v>1</v>
      </c>
      <c r="C3" s="833" t="str">
        <f>+IF('Data Entry'!I8="Please Select","",'Data Entry'!I8)</f>
        <v>New Funding Model</v>
      </c>
      <c r="D3" s="833"/>
      <c r="E3" s="834"/>
      <c r="F3" s="834"/>
      <c r="G3" s="834"/>
      <c r="H3" s="834"/>
      <c r="I3" s="834"/>
      <c r="J3" s="842" t="str">
        <f>+'Data Entry'!B16</f>
        <v>Report Period:</v>
      </c>
      <c r="K3" s="842"/>
      <c r="L3" s="198" t="str">
        <f>+'Data Entry'!C16</f>
        <v>P4</v>
      </c>
    </row>
    <row r="4" spans="1:16">
      <c r="B4" s="24" t="str">
        <f>+'Data Entry'!B12</f>
        <v>Latest Rating:</v>
      </c>
      <c r="C4" s="784" t="str">
        <f>+IF('Data Entry'!C12="Please Select","",'Data Entry'!C12)</f>
        <v>A2</v>
      </c>
      <c r="D4" s="784"/>
      <c r="E4" s="834" t="str">
        <f>+'Data Entry'!C8</f>
        <v>AngloGold Asanti (Ghana) Malaria Ltd</v>
      </c>
      <c r="F4" s="834"/>
      <c r="G4" s="834"/>
      <c r="H4" s="834"/>
      <c r="I4" s="834"/>
      <c r="J4" s="842" t="str">
        <f>+'Data Entry'!D16</f>
        <v>From:</v>
      </c>
      <c r="K4" s="843"/>
      <c r="L4" s="200">
        <f>+IF(ISBLANK('Data Entry'!E16),"",'Data Entry'!E16)</f>
        <v>42278</v>
      </c>
    </row>
    <row r="5" spans="1:16" ht="18.75" customHeight="1">
      <c r="B5" s="24"/>
      <c r="C5" s="24"/>
      <c r="D5" s="834" t="str">
        <f>+'Data Entry'!G4</f>
        <v>Accelerating Access -- Home-Based Care &amp; Indoor Residual Spraying</v>
      </c>
      <c r="E5" s="834"/>
      <c r="F5" s="834"/>
      <c r="G5" s="834"/>
      <c r="H5" s="834"/>
      <c r="I5" s="834"/>
      <c r="J5" s="834"/>
      <c r="K5" s="24" t="str">
        <f>+'Data Entry'!F16</f>
        <v>To:</v>
      </c>
      <c r="L5" s="200">
        <f>+IF(ISBLANK('Data Entry'!G16),"",'Data Entry'!G16)</f>
        <v>42369</v>
      </c>
    </row>
    <row r="6" spans="1:16" ht="18.75">
      <c r="B6" s="23"/>
      <c r="C6" s="24"/>
      <c r="D6" s="25"/>
      <c r="E6" s="839" t="s">
        <v>76</v>
      </c>
      <c r="F6" s="839"/>
      <c r="G6" s="839"/>
      <c r="H6" s="839"/>
      <c r="I6" s="839"/>
    </row>
    <row r="7" spans="1:16">
      <c r="B7" s="346" t="str">
        <f>+'Data Entry'!B73&amp;"                "&amp;+J3&amp;" "&amp;+L3</f>
        <v>M1: Status of Conditions Precedent (CPs) and Time Bound Actions (TBAs)                Report Period: P4</v>
      </c>
      <c r="C7" s="21"/>
      <c r="H7" s="346" t="str">
        <f>+'Data Entry'!B80&amp;"                                                                             "&amp;+J3&amp;"  "&amp;+L3</f>
        <v>M2: Status of key PR management positions                                                                             Report Period:  P4</v>
      </c>
    </row>
    <row r="8" spans="1:16" ht="26.25" customHeight="1">
      <c r="B8" s="326" t="s">
        <v>16</v>
      </c>
      <c r="C8" s="786"/>
      <c r="D8" s="787"/>
      <c r="E8" s="787"/>
      <c r="F8" s="788"/>
      <c r="G8" s="347"/>
      <c r="H8" s="325" t="s">
        <v>16</v>
      </c>
      <c r="I8" s="786"/>
      <c r="J8" s="776"/>
      <c r="K8" s="776"/>
      <c r="L8" s="785"/>
    </row>
    <row r="9" spans="1:16">
      <c r="B9" s="19"/>
      <c r="C9" s="19"/>
      <c r="D9" s="19"/>
      <c r="E9" s="19"/>
      <c r="F9" s="19"/>
      <c r="G9" s="19"/>
      <c r="H9" s="19"/>
    </row>
    <row r="10" spans="1:16">
      <c r="A10" s="47"/>
      <c r="B10" s="19"/>
      <c r="C10" s="19"/>
      <c r="D10" s="838"/>
      <c r="E10" s="840"/>
      <c r="F10" s="840"/>
      <c r="G10" s="207"/>
      <c r="H10" s="19"/>
      <c r="N10" s="49"/>
      <c r="O10" s="49"/>
      <c r="P10" s="48"/>
    </row>
    <row r="11" spans="1:16">
      <c r="B11" s="19"/>
      <c r="C11" s="28"/>
      <c r="D11" s="838"/>
      <c r="E11" s="28"/>
      <c r="F11" s="28"/>
      <c r="G11" s="28"/>
      <c r="H11" s="28" t="s">
        <v>471</v>
      </c>
      <c r="N11" s="19"/>
      <c r="O11" s="19"/>
    </row>
    <row r="12" spans="1:16">
      <c r="B12" s="28"/>
      <c r="C12" s="79"/>
      <c r="D12" s="80"/>
      <c r="E12" s="80"/>
      <c r="F12" s="80"/>
      <c r="G12" s="80"/>
      <c r="H12" s="81"/>
    </row>
    <row r="13" spans="1:16">
      <c r="B13" s="28"/>
      <c r="C13" s="79"/>
      <c r="D13" s="80"/>
      <c r="E13" s="80"/>
      <c r="F13" s="80"/>
      <c r="G13" s="80"/>
      <c r="H13" s="81"/>
    </row>
    <row r="15" spans="1:16" ht="27.75" customHeight="1">
      <c r="B15" s="346" t="str">
        <f>+'Data Entry'!B85&amp;"                                                                                                  "&amp;+J3&amp;" "&amp;+L3</f>
        <v>M3: Contractual arrangements (SRs)                                                                                                   Report Period: P4</v>
      </c>
      <c r="H15" s="346" t="str">
        <f>+'Data Entry'!B90&amp;"                  "&amp;+J3&amp;" "&amp;+L3</f>
        <v>M4: Number of complete reports received on time, this reporting period                  Report Period: P4</v>
      </c>
    </row>
    <row r="16" spans="1:16">
      <c r="B16" s="326" t="s">
        <v>16</v>
      </c>
      <c r="C16" s="786"/>
      <c r="D16" s="776"/>
      <c r="E16" s="776"/>
      <c r="F16" s="785"/>
      <c r="G16" s="347"/>
      <c r="H16" s="325" t="s">
        <v>16</v>
      </c>
      <c r="I16" s="786"/>
      <c r="J16" s="787"/>
      <c r="K16" s="787"/>
      <c r="L16" s="788"/>
    </row>
    <row r="17" spans="2:13">
      <c r="B17" s="29"/>
      <c r="H17" s="30"/>
    </row>
    <row r="18" spans="2:13">
      <c r="M18" s="83"/>
    </row>
    <row r="26" spans="2:13">
      <c r="B26" s="346" t="str">
        <f>+'Data Entry'!B96</f>
        <v>M5: Budget and Procurement of health products, health equipment, medicines and pharmaceuticals</v>
      </c>
      <c r="H26" s="346" t="str">
        <f>+'Data Entry'!B109&amp;"                                                                "&amp;+J3&amp;"  "&amp;+L3</f>
        <v>M6: Difference between current and safety stock                                                                Report Period:  P4</v>
      </c>
    </row>
    <row r="27" spans="2:13" ht="60" customHeight="1">
      <c r="B27" s="324" t="s">
        <v>16</v>
      </c>
      <c r="C27" s="832" t="s">
        <v>507</v>
      </c>
      <c r="D27" s="776"/>
      <c r="E27" s="776"/>
      <c r="F27" s="785"/>
      <c r="G27" s="347"/>
      <c r="H27" s="325" t="s">
        <v>16</v>
      </c>
      <c r="I27" s="786"/>
      <c r="J27" s="787"/>
      <c r="K27" s="787"/>
      <c r="L27" s="788"/>
    </row>
    <row r="28" spans="2:13" ht="15.75" thickBot="1"/>
    <row r="29" spans="2:13" ht="44.25" customHeight="1">
      <c r="F29" s="309"/>
      <c r="G29" s="309"/>
      <c r="H29" s="219" t="s">
        <v>40</v>
      </c>
      <c r="I29" s="306" t="s">
        <v>86</v>
      </c>
      <c r="J29" s="322" t="s">
        <v>332</v>
      </c>
      <c r="K29" s="218" t="s">
        <v>327</v>
      </c>
      <c r="L29" s="307" t="s">
        <v>326</v>
      </c>
    </row>
    <row r="30" spans="2:13" ht="15" customHeight="1">
      <c r="F30" s="309"/>
      <c r="G30" s="309"/>
      <c r="H30" s="835" t="str">
        <f>+'Data Entry'!B112</f>
        <v>MALARIA</v>
      </c>
      <c r="I30" s="308" t="str">
        <f>+'Data Entry'!C112</f>
        <v>AS/MQ</v>
      </c>
      <c r="J30" s="310" t="str">
        <f>+'Data Entry'!I112</f>
        <v/>
      </c>
      <c r="K30" s="303">
        <f>+'Data Entry'!J112</f>
        <v>0</v>
      </c>
      <c r="L30" s="386" t="str">
        <f>+'Data Entry'!K112</f>
        <v/>
      </c>
    </row>
    <row r="31" spans="2:13">
      <c r="F31" s="309"/>
      <c r="G31" s="309"/>
      <c r="H31" s="836"/>
      <c r="I31" s="308" t="str">
        <f>+'Data Entry'!C113</f>
        <v>Al/Lum</v>
      </c>
      <c r="J31" s="310" t="str">
        <f>+'Data Entry'!I113</f>
        <v/>
      </c>
      <c r="K31" s="303">
        <f>+'Data Entry'!J113</f>
        <v>0</v>
      </c>
      <c r="L31" s="387" t="str">
        <f>+'Data Entry'!K113</f>
        <v/>
      </c>
    </row>
    <row r="32" spans="2:13">
      <c r="F32" s="309"/>
      <c r="G32" s="309"/>
      <c r="H32" s="836"/>
      <c r="I32" s="470">
        <f>+'Data Entry'!C114</f>
        <v>0</v>
      </c>
      <c r="J32" s="471" t="str">
        <f>+'Data Entry'!I114</f>
        <v/>
      </c>
      <c r="K32" s="472">
        <f>+'Data Entry'!J114</f>
        <v>0</v>
      </c>
      <c r="L32" s="476" t="str">
        <f>+'Data Entry'!K114</f>
        <v/>
      </c>
    </row>
    <row r="33" spans="2:12" ht="15.75" thickBot="1">
      <c r="F33" s="309"/>
      <c r="G33" s="309"/>
      <c r="H33" s="837"/>
      <c r="I33" s="473">
        <f>+'Data Entry'!C115</f>
        <v>0</v>
      </c>
      <c r="J33" s="474" t="str">
        <f>+'Data Entry'!I115</f>
        <v/>
      </c>
      <c r="K33" s="475">
        <f>+'Data Entry'!J115</f>
        <v>0</v>
      </c>
      <c r="L33" s="476" t="str">
        <f>+'Data Entry'!K115</f>
        <v/>
      </c>
    </row>
    <row r="34" spans="2:12" ht="24.75" customHeight="1">
      <c r="B34" s="831" t="str">
        <f>+'Data Entry'!B106</f>
        <v>* Includes only EFR category 4 and 5  (Health products and health equipment &amp; Medicines and Pharmaceuticals)</v>
      </c>
      <c r="C34" s="831"/>
      <c r="D34" s="831"/>
      <c r="E34" s="831"/>
      <c r="F34" s="19"/>
      <c r="G34" s="19"/>
      <c r="H34" s="215"/>
      <c r="I34" s="216"/>
      <c r="J34" s="217"/>
      <c r="K34" s="207"/>
      <c r="L34" s="20"/>
    </row>
    <row r="35" spans="2:12">
      <c r="F35" s="19"/>
      <c r="G35" s="19"/>
      <c r="H35" s="19"/>
      <c r="I35" s="19"/>
      <c r="J35" s="19"/>
      <c r="K35" s="19"/>
      <c r="L35" s="19"/>
    </row>
  </sheetData>
  <mergeCells count="19">
    <mergeCell ref="B2:L2"/>
    <mergeCell ref="C4:D4"/>
    <mergeCell ref="E3:I3"/>
    <mergeCell ref="J3:K3"/>
    <mergeCell ref="J4:K4"/>
    <mergeCell ref="B34:E34"/>
    <mergeCell ref="C27:F27"/>
    <mergeCell ref="C3:D3"/>
    <mergeCell ref="E4:I4"/>
    <mergeCell ref="H30:H33"/>
    <mergeCell ref="I8:L8"/>
    <mergeCell ref="D5:J5"/>
    <mergeCell ref="I16:L16"/>
    <mergeCell ref="I27:L27"/>
    <mergeCell ref="D10:D11"/>
    <mergeCell ref="E6:I6"/>
    <mergeCell ref="C16:F16"/>
    <mergeCell ref="E10:F10"/>
    <mergeCell ref="C8:F8"/>
  </mergeCells>
  <phoneticPr fontId="31" type="noConversion"/>
  <conditionalFormatting sqref="D12:D13">
    <cfRule type="cellIs" dxfId="17" priority="1" stopIfTrue="1" operator="greaterThan">
      <formula>0</formula>
    </cfRule>
  </conditionalFormatting>
  <conditionalFormatting sqref="E12:E13">
    <cfRule type="cellIs" dxfId="16" priority="2" stopIfTrue="1" operator="greaterThan">
      <formula>0</formula>
    </cfRule>
  </conditionalFormatting>
  <conditionalFormatting sqref="F12:G13">
    <cfRule type="cellIs" dxfId="15" priority="3" stopIfTrue="1" operator="greaterThan">
      <formula>0</formula>
    </cfRule>
  </conditionalFormatting>
  <conditionalFormatting sqref="C4:D4">
    <cfRule type="cellIs" dxfId="14" priority="4" stopIfTrue="1" operator="equal">
      <formula>"C"</formula>
    </cfRule>
    <cfRule type="cellIs" dxfId="13" priority="5" stopIfTrue="1" operator="equal">
      <formula>"B2"</formula>
    </cfRule>
    <cfRule type="cellIs" dxfId="12" priority="6" stopIfTrue="1" operator="equal">
      <formula>"B1"</formula>
    </cfRule>
  </conditionalFormatting>
  <conditionalFormatting sqref="L30 L32:L33">
    <cfRule type="cellIs" dxfId="11" priority="13" stopIfTrue="1" operator="lessThan">
      <formula>1</formula>
    </cfRule>
    <cfRule type="cellIs" dxfId="10" priority="14" stopIfTrue="1" operator="between">
      <formula>3</formula>
      <formula>17</formula>
    </cfRule>
    <cfRule type="cellIs" dxfId="9" priority="15" stopIfTrue="1" operator="between">
      <formula>1</formula>
      <formula>3</formula>
    </cfRule>
  </conditionalFormatting>
  <conditionalFormatting sqref="L31">
    <cfRule type="cellIs" dxfId="8" priority="16" stopIfTrue="1" operator="lessThan">
      <formula>1</formula>
    </cfRule>
    <cfRule type="cellIs" dxfId="7" priority="17" stopIfTrue="1" operator="between">
      <formula>3</formula>
      <formula>100</formula>
    </cfRule>
    <cfRule type="cellIs" dxfId="6" priority="18" stopIfTrue="1" operator="between">
      <formula>1</formula>
      <formula>3</formula>
    </cfRule>
  </conditionalFormatting>
  <pageMargins left="0.70866141732283472" right="0.70866141732283472" top="0.74803149606299213" bottom="0.74803149606299213" header="0.31496062992125984" footer="0.31496062992125984"/>
  <pageSetup paperSize="9" scale="83" orientation="landscape"/>
  <headerFooter alignWithMargins="0">
    <oddFooter>&amp;L&amp;F&amp;C&amp;A&amp;RV1.0          &amp;D</oddFooter>
  </headerFooter>
  <colBreaks count="1" manualBreakCount="1">
    <brk id="12" max="33" man="1"/>
  </colBreaks>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27"/>
  </sheetPr>
  <dimension ref="A1:M43"/>
  <sheetViews>
    <sheetView showGridLines="0" topLeftCell="A21" zoomScaleNormal="110" zoomScaleSheetLayoutView="100" zoomScalePageLayoutView="110" workbookViewId="0">
      <selection activeCell="B32" sqref="B32:E33"/>
    </sheetView>
  </sheetViews>
  <sheetFormatPr defaultColWidth="11" defaultRowHeight="15"/>
  <cols>
    <col min="1" max="1" width="4.140625" customWidth="1"/>
    <col min="2" max="2" width="14.42578125" customWidth="1"/>
    <col min="3" max="3" width="12.42578125" customWidth="1"/>
    <col min="4" max="4" width="11.42578125" customWidth="1"/>
    <col min="5" max="5" width="19" customWidth="1"/>
    <col min="6" max="6" width="1.42578125" customWidth="1"/>
    <col min="7" max="7" width="11.42578125" customWidth="1"/>
    <col min="8" max="8" width="9.42578125" customWidth="1"/>
    <col min="9" max="9" width="11.42578125" customWidth="1"/>
    <col min="10" max="10" width="12.42578125" customWidth="1"/>
    <col min="11" max="11" width="10.42578125" customWidth="1"/>
    <col min="12" max="12" width="9.7109375" customWidth="1"/>
  </cols>
  <sheetData>
    <row r="1" spans="1:13" ht="30.75" customHeight="1"/>
    <row r="2" spans="1:13" ht="27.75" customHeight="1">
      <c r="B2" s="841" t="str">
        <f>'Grant Detail'!B3:J3</f>
        <v>Dashboard:  Ghana - MALARIA  (AngloGold Asanti (Ghana) Malaria Ltd)</v>
      </c>
      <c r="C2" s="841"/>
      <c r="D2" s="841"/>
      <c r="E2" s="841"/>
      <c r="F2" s="841"/>
      <c r="G2" s="841"/>
      <c r="H2" s="841"/>
      <c r="I2" s="841"/>
      <c r="J2" s="841"/>
      <c r="K2" s="841"/>
      <c r="L2" s="841"/>
    </row>
    <row r="3" spans="1:13">
      <c r="B3" s="24" t="str">
        <f>+IF('Data Entry'!G8="Please Select","",'Data Entry'!G8)</f>
        <v>1</v>
      </c>
      <c r="C3" s="833" t="str">
        <f>+IF('Data Entry'!I8="Please Select","",'Data Entry'!I8)</f>
        <v>New Funding Model</v>
      </c>
      <c r="D3" s="833"/>
      <c r="E3" s="834"/>
      <c r="F3" s="834"/>
      <c r="G3" s="834"/>
      <c r="H3" s="834"/>
      <c r="I3" s="834"/>
      <c r="J3" s="842" t="str">
        <f>+'Data Entry'!B16</f>
        <v>Report Period:</v>
      </c>
      <c r="K3" s="842"/>
      <c r="L3" s="199" t="str">
        <f>+'Data Entry'!C16</f>
        <v>P4</v>
      </c>
      <c r="M3" s="85"/>
    </row>
    <row r="4" spans="1:13">
      <c r="B4" s="24" t="str">
        <f>+'Data Entry'!B12</f>
        <v>Latest Rating:</v>
      </c>
      <c r="C4" s="864" t="str">
        <f>+IF('Data Entry'!C12="Please Select","",'Data Entry'!C12)</f>
        <v>A2</v>
      </c>
      <c r="D4" s="864"/>
      <c r="E4" s="834" t="str">
        <f>+'Data Entry'!C8</f>
        <v>AngloGold Asanti (Ghana) Malaria Ltd</v>
      </c>
      <c r="F4" s="834"/>
      <c r="G4" s="834"/>
      <c r="H4" s="834"/>
      <c r="I4" s="834"/>
      <c r="J4" s="842" t="str">
        <f>+'Data Entry'!D16</f>
        <v>From:</v>
      </c>
      <c r="K4" s="843"/>
      <c r="L4" s="200">
        <f>+IF(ISBLANK('Data Entry'!E16),"",'Data Entry'!E16)</f>
        <v>42278</v>
      </c>
    </row>
    <row r="5" spans="1:13" ht="18.75" customHeight="1">
      <c r="B5" s="24"/>
      <c r="C5" s="24"/>
      <c r="D5" s="834" t="str">
        <f>+'Data Entry'!G4</f>
        <v>Accelerating Access -- Home-Based Care &amp; Indoor Residual Spraying</v>
      </c>
      <c r="E5" s="834"/>
      <c r="F5" s="834"/>
      <c r="G5" s="834"/>
      <c r="H5" s="834"/>
      <c r="I5" s="834"/>
      <c r="J5" s="834"/>
      <c r="K5" s="24" t="str">
        <f>+'Data Entry'!F16</f>
        <v>To:</v>
      </c>
      <c r="L5" s="200">
        <f>+IF(ISBLANK('Data Entry'!G16),"",'Data Entry'!G16)</f>
        <v>42369</v>
      </c>
    </row>
    <row r="6" spans="1:13" ht="18.75">
      <c r="B6" s="23"/>
      <c r="C6" s="24"/>
      <c r="D6" s="25"/>
      <c r="E6" s="839" t="s">
        <v>354</v>
      </c>
      <c r="F6" s="839"/>
      <c r="G6" s="839"/>
      <c r="H6" s="839"/>
      <c r="I6" s="839"/>
    </row>
    <row r="7" spans="1:13" ht="18.75">
      <c r="E7" s="72"/>
      <c r="F7" s="72"/>
      <c r="G7" s="72"/>
      <c r="H7" s="72"/>
      <c r="I7" s="72"/>
    </row>
    <row r="8" spans="1:13" s="33" customFormat="1" ht="21" customHeight="1" thickBot="1">
      <c r="B8" s="76" t="s">
        <v>102</v>
      </c>
      <c r="C8" s="76"/>
      <c r="D8" s="76"/>
      <c r="E8" s="76"/>
      <c r="F8" s="76"/>
      <c r="G8" s="76"/>
      <c r="H8" s="76"/>
      <c r="I8" s="76"/>
      <c r="J8" s="76"/>
      <c r="K8" s="76"/>
      <c r="L8" s="76"/>
    </row>
    <row r="9" spans="1:13" ht="6" customHeight="1">
      <c r="B9" s="74"/>
    </row>
    <row r="10" spans="1:13">
      <c r="B10" s="867"/>
      <c r="C10" s="868"/>
      <c r="D10" s="868"/>
      <c r="E10" s="868"/>
      <c r="F10" s="868"/>
      <c r="G10" s="868"/>
      <c r="H10" s="868"/>
      <c r="I10" s="868"/>
      <c r="J10" s="868"/>
      <c r="K10" s="868"/>
      <c r="L10" s="869"/>
    </row>
    <row r="11" spans="1:13">
      <c r="B11" s="870"/>
      <c r="C11" s="871"/>
      <c r="D11" s="871"/>
      <c r="E11" s="871"/>
      <c r="F11" s="871"/>
      <c r="G11" s="871"/>
      <c r="H11" s="871"/>
      <c r="I11" s="871"/>
      <c r="J11" s="871"/>
      <c r="K11" s="871"/>
      <c r="L11" s="872"/>
    </row>
    <row r="12" spans="1:13" ht="15.75" thickBot="1"/>
    <row r="13" spans="1:13" ht="26.25" customHeight="1" thickBot="1">
      <c r="B13" s="873" t="s">
        <v>307</v>
      </c>
      <c r="C13" s="874"/>
      <c r="D13" s="874"/>
      <c r="E13" s="875"/>
      <c r="F13" s="77"/>
      <c r="G13" s="876" t="s">
        <v>134</v>
      </c>
      <c r="H13" s="846"/>
      <c r="I13" s="846"/>
      <c r="J13" s="78" t="s">
        <v>103</v>
      </c>
      <c r="K13" s="846" t="s">
        <v>296</v>
      </c>
      <c r="L13" s="847"/>
    </row>
    <row r="14" spans="1:13">
      <c r="A14" s="882" t="s">
        <v>308</v>
      </c>
      <c r="B14" s="856"/>
      <c r="C14" s="856"/>
      <c r="D14" s="856"/>
      <c r="E14" s="857"/>
      <c r="F14" s="46"/>
      <c r="G14" s="885"/>
      <c r="H14" s="865"/>
      <c r="I14" s="865"/>
      <c r="J14" s="865"/>
      <c r="K14" s="865"/>
      <c r="L14" s="866"/>
    </row>
    <row r="15" spans="1:13">
      <c r="A15" s="883"/>
      <c r="B15" s="856"/>
      <c r="C15" s="856"/>
      <c r="D15" s="856"/>
      <c r="E15" s="857"/>
      <c r="F15" s="46"/>
      <c r="G15" s="886"/>
      <c r="H15" s="852"/>
      <c r="I15" s="852"/>
      <c r="J15" s="852"/>
      <c r="K15" s="852"/>
      <c r="L15" s="853"/>
    </row>
    <row r="16" spans="1:13">
      <c r="A16" s="883"/>
      <c r="B16" s="856"/>
      <c r="C16" s="856"/>
      <c r="D16" s="856"/>
      <c r="E16" s="857"/>
      <c r="F16" s="46"/>
      <c r="G16" s="886"/>
      <c r="H16" s="852"/>
      <c r="I16" s="852"/>
      <c r="J16" s="852"/>
      <c r="K16" s="852"/>
      <c r="L16" s="853"/>
    </row>
    <row r="17" spans="1:12">
      <c r="A17" s="883"/>
      <c r="B17" s="856"/>
      <c r="C17" s="856"/>
      <c r="D17" s="856"/>
      <c r="E17" s="857"/>
      <c r="F17" s="46"/>
      <c r="G17" s="886"/>
      <c r="H17" s="852"/>
      <c r="I17" s="852"/>
      <c r="J17" s="852"/>
      <c r="K17" s="852"/>
      <c r="L17" s="853"/>
    </row>
    <row r="18" spans="1:12">
      <c r="A18" s="883"/>
      <c r="B18" s="856"/>
      <c r="C18" s="856"/>
      <c r="D18" s="856"/>
      <c r="E18" s="857"/>
      <c r="F18" s="46"/>
      <c r="G18" s="858"/>
      <c r="H18" s="859"/>
      <c r="I18" s="860"/>
      <c r="J18" s="852"/>
      <c r="K18" s="852"/>
      <c r="L18" s="853"/>
    </row>
    <row r="19" spans="1:12" ht="30.75" customHeight="1">
      <c r="A19" s="883"/>
      <c r="B19" s="856"/>
      <c r="C19" s="856"/>
      <c r="D19" s="856"/>
      <c r="E19" s="857"/>
      <c r="F19" s="46"/>
      <c r="G19" s="861"/>
      <c r="H19" s="862"/>
      <c r="I19" s="863"/>
      <c r="J19" s="852"/>
      <c r="K19" s="852"/>
      <c r="L19" s="853"/>
    </row>
    <row r="20" spans="1:12">
      <c r="A20" s="883"/>
      <c r="B20" s="856"/>
      <c r="C20" s="856"/>
      <c r="D20" s="856"/>
      <c r="E20" s="857"/>
      <c r="F20" s="46"/>
      <c r="G20" s="886"/>
      <c r="H20" s="852"/>
      <c r="I20" s="852"/>
      <c r="J20" s="852"/>
      <c r="K20" s="852"/>
      <c r="L20" s="853"/>
    </row>
    <row r="21" spans="1:12">
      <c r="A21" s="883"/>
      <c r="B21" s="856"/>
      <c r="C21" s="856"/>
      <c r="D21" s="856"/>
      <c r="E21" s="857"/>
      <c r="F21" s="46"/>
      <c r="G21" s="886"/>
      <c r="H21" s="852"/>
      <c r="I21" s="852"/>
      <c r="J21" s="852"/>
      <c r="K21" s="852"/>
      <c r="L21" s="853"/>
    </row>
    <row r="22" spans="1:12">
      <c r="A22" s="883"/>
      <c r="B22" s="856"/>
      <c r="C22" s="856"/>
      <c r="D22" s="856"/>
      <c r="E22" s="857"/>
      <c r="F22" s="46"/>
      <c r="G22" s="886"/>
      <c r="H22" s="852"/>
      <c r="I22" s="852"/>
      <c r="J22" s="852"/>
      <c r="K22" s="852"/>
      <c r="L22" s="853"/>
    </row>
    <row r="23" spans="1:12">
      <c r="A23" s="883"/>
      <c r="B23" s="856"/>
      <c r="C23" s="856"/>
      <c r="D23" s="856"/>
      <c r="E23" s="857"/>
      <c r="F23" s="46"/>
      <c r="G23" s="886"/>
      <c r="H23" s="852"/>
      <c r="I23" s="852"/>
      <c r="J23" s="852"/>
      <c r="K23" s="852"/>
      <c r="L23" s="853"/>
    </row>
    <row r="24" spans="1:12">
      <c r="A24" s="883"/>
      <c r="B24" s="856"/>
      <c r="C24" s="856"/>
      <c r="D24" s="856"/>
      <c r="E24" s="857"/>
      <c r="F24" s="46"/>
      <c r="G24" s="886"/>
      <c r="H24" s="852"/>
      <c r="I24" s="852"/>
      <c r="J24" s="852"/>
      <c r="K24" s="852"/>
      <c r="L24" s="853"/>
    </row>
    <row r="25" spans="1:12" ht="15.75" thickBot="1">
      <c r="A25" s="884"/>
      <c r="B25" s="887"/>
      <c r="C25" s="887"/>
      <c r="D25" s="887"/>
      <c r="E25" s="888"/>
      <c r="F25" s="46"/>
      <c r="G25" s="890"/>
      <c r="H25" s="854"/>
      <c r="I25" s="854"/>
      <c r="J25" s="854"/>
      <c r="K25" s="854"/>
      <c r="L25" s="855"/>
    </row>
    <row r="27" spans="1:12" ht="18.75">
      <c r="E27" s="889" t="s">
        <v>330</v>
      </c>
      <c r="F27" s="889"/>
      <c r="G27" s="889"/>
      <c r="H27" s="889"/>
      <c r="I27" s="889"/>
    </row>
    <row r="28" spans="1:12" ht="6" customHeight="1">
      <c r="E28" s="72"/>
      <c r="F28" s="72"/>
      <c r="G28" s="72"/>
      <c r="H28" s="72"/>
      <c r="I28" s="72"/>
    </row>
    <row r="29" spans="1:12" s="33" customFormat="1" ht="21" customHeight="1" thickBot="1">
      <c r="B29" s="76" t="s">
        <v>384</v>
      </c>
      <c r="C29" s="76"/>
      <c r="D29" s="76"/>
      <c r="E29" s="76"/>
      <c r="F29" s="76"/>
      <c r="G29" s="76"/>
      <c r="H29" s="76"/>
      <c r="I29" s="76"/>
      <c r="J29" s="76"/>
      <c r="K29" s="76"/>
      <c r="L29" s="76"/>
    </row>
    <row r="30" spans="1:12" ht="6" customHeight="1" thickBot="1">
      <c r="B30" s="74"/>
    </row>
    <row r="31" spans="1:12" ht="21.75" customHeight="1" thickBot="1">
      <c r="B31" s="873" t="s">
        <v>134</v>
      </c>
      <c r="C31" s="874"/>
      <c r="D31" s="874"/>
      <c r="E31" s="875"/>
      <c r="F31" s="77"/>
      <c r="G31" s="876" t="s">
        <v>318</v>
      </c>
      <c r="H31" s="846"/>
      <c r="I31" s="846"/>
      <c r="J31" s="78" t="s">
        <v>298</v>
      </c>
      <c r="K31" s="846" t="s">
        <v>296</v>
      </c>
      <c r="L31" s="847"/>
    </row>
    <row r="32" spans="1:12" ht="14.25" customHeight="1">
      <c r="A32" s="882" t="s">
        <v>309</v>
      </c>
      <c r="B32" s="891"/>
      <c r="C32" s="892"/>
      <c r="D32" s="892"/>
      <c r="E32" s="893"/>
      <c r="F32" s="46"/>
      <c r="G32" s="898"/>
      <c r="H32" s="850"/>
      <c r="I32" s="850"/>
      <c r="J32" s="850"/>
      <c r="K32" s="850"/>
      <c r="L32" s="851"/>
    </row>
    <row r="33" spans="1:12" ht="16.5" customHeight="1">
      <c r="A33" s="883"/>
      <c r="B33" s="861"/>
      <c r="C33" s="862"/>
      <c r="D33" s="862"/>
      <c r="E33" s="894"/>
      <c r="F33" s="46"/>
      <c r="G33" s="877"/>
      <c r="H33" s="844"/>
      <c r="I33" s="844"/>
      <c r="J33" s="844"/>
      <c r="K33" s="844"/>
      <c r="L33" s="845"/>
    </row>
    <row r="34" spans="1:12">
      <c r="A34" s="883"/>
      <c r="B34" s="879" t="str">
        <f>IF(Recommendations!I43="","",Recommendations!I43)</f>
        <v/>
      </c>
      <c r="C34" s="880"/>
      <c r="D34" s="880"/>
      <c r="E34" s="881"/>
      <c r="F34" s="46"/>
      <c r="G34" s="877"/>
      <c r="H34" s="844"/>
      <c r="I34" s="844"/>
      <c r="J34" s="844"/>
      <c r="K34" s="844"/>
      <c r="L34" s="845"/>
    </row>
    <row r="35" spans="1:12">
      <c r="A35" s="883"/>
      <c r="B35" s="879"/>
      <c r="C35" s="880"/>
      <c r="D35" s="880"/>
      <c r="E35" s="881"/>
      <c r="F35" s="46"/>
      <c r="G35" s="877"/>
      <c r="H35" s="844"/>
      <c r="I35" s="844"/>
      <c r="J35" s="844"/>
      <c r="K35" s="844"/>
      <c r="L35" s="845"/>
    </row>
    <row r="36" spans="1:12">
      <c r="A36" s="883"/>
      <c r="B36" s="879" t="str">
        <f>+IF(Recommendations!I53="","",Recommendations!I53)</f>
        <v/>
      </c>
      <c r="C36" s="880"/>
      <c r="D36" s="880"/>
      <c r="E36" s="881"/>
      <c r="F36" s="46"/>
      <c r="G36" s="877"/>
      <c r="H36" s="844"/>
      <c r="I36" s="844"/>
      <c r="J36" s="844"/>
      <c r="K36" s="844"/>
      <c r="L36" s="845"/>
    </row>
    <row r="37" spans="1:12">
      <c r="A37" s="883"/>
      <c r="B37" s="879"/>
      <c r="C37" s="880"/>
      <c r="D37" s="880"/>
      <c r="E37" s="881"/>
      <c r="F37" s="46"/>
      <c r="G37" s="877"/>
      <c r="H37" s="844"/>
      <c r="I37" s="844"/>
      <c r="J37" s="844"/>
      <c r="K37" s="844"/>
      <c r="L37" s="845"/>
    </row>
    <row r="38" spans="1:12">
      <c r="A38" s="883"/>
      <c r="B38" s="879"/>
      <c r="C38" s="880"/>
      <c r="D38" s="880"/>
      <c r="E38" s="881"/>
      <c r="F38" s="46"/>
      <c r="G38" s="877"/>
      <c r="H38" s="844"/>
      <c r="I38" s="844"/>
      <c r="J38" s="844"/>
      <c r="K38" s="844"/>
      <c r="L38" s="845"/>
    </row>
    <row r="39" spans="1:12">
      <c r="A39" s="883"/>
      <c r="B39" s="879"/>
      <c r="C39" s="880"/>
      <c r="D39" s="880"/>
      <c r="E39" s="881"/>
      <c r="F39" s="46"/>
      <c r="G39" s="877"/>
      <c r="H39" s="844"/>
      <c r="I39" s="844"/>
      <c r="J39" s="844"/>
      <c r="K39" s="844"/>
      <c r="L39" s="845"/>
    </row>
    <row r="40" spans="1:12">
      <c r="A40" s="883"/>
      <c r="B40" s="879"/>
      <c r="C40" s="880"/>
      <c r="D40" s="880"/>
      <c r="E40" s="881"/>
      <c r="F40" s="46"/>
      <c r="G40" s="877"/>
      <c r="H40" s="844"/>
      <c r="I40" s="844"/>
      <c r="J40" s="844"/>
      <c r="K40" s="844"/>
      <c r="L40" s="845"/>
    </row>
    <row r="41" spans="1:12">
      <c r="A41" s="883"/>
      <c r="B41" s="879"/>
      <c r="C41" s="880"/>
      <c r="D41" s="880"/>
      <c r="E41" s="881"/>
      <c r="F41" s="46"/>
      <c r="G41" s="877"/>
      <c r="H41" s="844"/>
      <c r="I41" s="844"/>
      <c r="J41" s="844"/>
      <c r="K41" s="844"/>
      <c r="L41" s="845"/>
    </row>
    <row r="42" spans="1:12">
      <c r="A42" s="883"/>
      <c r="B42" s="879"/>
      <c r="C42" s="880"/>
      <c r="D42" s="880"/>
      <c r="E42" s="881"/>
      <c r="F42" s="46"/>
      <c r="G42" s="877"/>
      <c r="H42" s="844"/>
      <c r="I42" s="844"/>
      <c r="J42" s="844"/>
      <c r="K42" s="844"/>
      <c r="L42" s="845"/>
    </row>
    <row r="43" spans="1:12" ht="15.75" thickBot="1">
      <c r="A43" s="884"/>
      <c r="B43" s="895"/>
      <c r="C43" s="896"/>
      <c r="D43" s="896"/>
      <c r="E43" s="897"/>
      <c r="F43" s="46"/>
      <c r="G43" s="878"/>
      <c r="H43" s="848"/>
      <c r="I43" s="848"/>
      <c r="J43" s="848"/>
      <c r="K43" s="848"/>
      <c r="L43" s="849"/>
    </row>
  </sheetData>
  <sheetProtection password="CFC9" sheet="1"/>
  <mergeCells count="67">
    <mergeCell ref="A32:A43"/>
    <mergeCell ref="G31:I31"/>
    <mergeCell ref="G20:I21"/>
    <mergeCell ref="G22:I23"/>
    <mergeCell ref="E27:I27"/>
    <mergeCell ref="B31:E31"/>
    <mergeCell ref="G24:I25"/>
    <mergeCell ref="G38:I39"/>
    <mergeCell ref="B32:E33"/>
    <mergeCell ref="B42:E43"/>
    <mergeCell ref="G32:I33"/>
    <mergeCell ref="B40:E41"/>
    <mergeCell ref="B20:E21"/>
    <mergeCell ref="B34:E35"/>
    <mergeCell ref="G34:I35"/>
    <mergeCell ref="B36:E37"/>
    <mergeCell ref="A14:A25"/>
    <mergeCell ref="J18:J19"/>
    <mergeCell ref="J16:J17"/>
    <mergeCell ref="J14:J15"/>
    <mergeCell ref="B16:E17"/>
    <mergeCell ref="G14:I15"/>
    <mergeCell ref="J24:J25"/>
    <mergeCell ref="B14:E15"/>
    <mergeCell ref="J22:J23"/>
    <mergeCell ref="G16:I17"/>
    <mergeCell ref="B24:E25"/>
    <mergeCell ref="J20:J21"/>
    <mergeCell ref="G42:I43"/>
    <mergeCell ref="G40:I41"/>
    <mergeCell ref="B38:E39"/>
    <mergeCell ref="J42:J43"/>
    <mergeCell ref="J34:J35"/>
    <mergeCell ref="J38:J39"/>
    <mergeCell ref="J40:J41"/>
    <mergeCell ref="J36:J37"/>
    <mergeCell ref="G36:I37"/>
    <mergeCell ref="B2:L2"/>
    <mergeCell ref="C4:D4"/>
    <mergeCell ref="K14:L15"/>
    <mergeCell ref="K16:L17"/>
    <mergeCell ref="E3:I3"/>
    <mergeCell ref="J3:K3"/>
    <mergeCell ref="E4:I4"/>
    <mergeCell ref="J4:K4"/>
    <mergeCell ref="B10:L11"/>
    <mergeCell ref="K13:L13"/>
    <mergeCell ref="E6:I6"/>
    <mergeCell ref="C3:D3"/>
    <mergeCell ref="D5:J5"/>
    <mergeCell ref="B13:E13"/>
    <mergeCell ref="G13:I13"/>
    <mergeCell ref="K24:L25"/>
    <mergeCell ref="J32:J33"/>
    <mergeCell ref="B18:E19"/>
    <mergeCell ref="B22:E23"/>
    <mergeCell ref="G18:I19"/>
    <mergeCell ref="K18:L19"/>
    <mergeCell ref="K22:L23"/>
    <mergeCell ref="K20:L21"/>
    <mergeCell ref="K34:L35"/>
    <mergeCell ref="K40:L41"/>
    <mergeCell ref="K31:L31"/>
    <mergeCell ref="K42:L43"/>
    <mergeCell ref="K36:L37"/>
    <mergeCell ref="K38:L39"/>
    <mergeCell ref="K32:L33"/>
  </mergeCells>
  <phoneticPr fontId="31" type="noConversion"/>
  <conditionalFormatting sqref="C4:D4">
    <cfRule type="cellIs" dxfId="5" priority="1" stopIfTrue="1" operator="equal">
      <formula>"C"</formula>
    </cfRule>
    <cfRule type="cellIs" dxfId="4" priority="2" stopIfTrue="1" operator="equal">
      <formula>"B2"</formula>
    </cfRule>
    <cfRule type="cellIs" dxfId="3" priority="3" stopIfTrue="1" operator="equal">
      <formula>"B1"</formula>
    </cfRule>
  </conditionalFormatting>
  <pageMargins left="0.70866141732283472" right="0.70866141732283472" top="0.74803149606299213" bottom="0.74803149606299213" header="0.31496062992125984" footer="0.31496062992125984"/>
  <pageSetup paperSize="9" scale="70" orientation="landscape"/>
  <headerFooter alignWithMargins="0">
    <oddFooter>&amp;L&amp;F&amp;C&amp;A&amp;RV1.0          &amp;D</oddFooter>
  </headerFooter>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sheetPr>
  <dimension ref="A1:F118"/>
  <sheetViews>
    <sheetView workbookViewId="0">
      <selection activeCell="F10" sqref="F10"/>
    </sheetView>
  </sheetViews>
  <sheetFormatPr defaultColWidth="8.85546875" defaultRowHeight="15"/>
  <cols>
    <col min="1" max="1" width="18.5703125" style="455" bestFit="1" customWidth="1"/>
    <col min="2" max="2" width="7.7109375" customWidth="1"/>
    <col min="3" max="3" width="18.140625" customWidth="1"/>
    <col min="5" max="5" width="5.7109375" customWidth="1"/>
    <col min="6" max="6" width="103.140625" customWidth="1"/>
  </cols>
  <sheetData>
    <row r="1" spans="1:6">
      <c r="A1" s="507" t="s">
        <v>433</v>
      </c>
      <c r="B1" s="480" t="str">
        <f>'Data Entry'!G8</f>
        <v>1</v>
      </c>
      <c r="D1" s="74" t="s">
        <v>402</v>
      </c>
    </row>
    <row r="2" spans="1:6">
      <c r="A2" s="507" t="s">
        <v>418</v>
      </c>
      <c r="F2" s="484" t="s">
        <v>434</v>
      </c>
    </row>
    <row r="3" spans="1:6" ht="25.5">
      <c r="A3" s="508" t="s">
        <v>403</v>
      </c>
      <c r="B3" s="456" t="s">
        <v>404</v>
      </c>
      <c r="C3" s="456" t="s">
        <v>405</v>
      </c>
      <c r="D3" s="456" t="s">
        <v>406</v>
      </c>
      <c r="E3" s="456" t="s">
        <v>407</v>
      </c>
      <c r="F3" s="456" t="s">
        <v>408</v>
      </c>
    </row>
    <row r="4" spans="1:6" s="499" customFormat="1" ht="63.75">
      <c r="A4" s="509" t="s">
        <v>453</v>
      </c>
      <c r="B4" s="498" t="s">
        <v>128</v>
      </c>
      <c r="C4" s="498" t="s">
        <v>454</v>
      </c>
      <c r="D4" s="498" t="s">
        <v>455</v>
      </c>
      <c r="E4" s="498">
        <v>1.1000000000000001</v>
      </c>
      <c r="F4" s="512" t="s">
        <v>456</v>
      </c>
    </row>
    <row r="5" spans="1:6">
      <c r="A5" s="510" t="s">
        <v>453</v>
      </c>
      <c r="B5" s="481" t="s">
        <v>128</v>
      </c>
      <c r="C5" s="481" t="s">
        <v>454</v>
      </c>
      <c r="D5" s="481" t="s">
        <v>401</v>
      </c>
      <c r="E5" s="481">
        <v>1.5</v>
      </c>
      <c r="F5" s="482" t="s">
        <v>457</v>
      </c>
    </row>
    <row r="6" spans="1:6">
      <c r="A6" s="513"/>
      <c r="B6" s="514"/>
      <c r="C6" s="514"/>
      <c r="D6" s="514"/>
      <c r="E6" s="514"/>
      <c r="F6" s="515"/>
    </row>
    <row r="7" spans="1:6" ht="63.75">
      <c r="A7" s="510" t="s">
        <v>458</v>
      </c>
      <c r="B7" s="481" t="s">
        <v>131</v>
      </c>
      <c r="C7" s="481" t="s">
        <v>454</v>
      </c>
      <c r="D7" s="481" t="s">
        <v>401</v>
      </c>
      <c r="E7" s="481">
        <v>1.1000000000000001</v>
      </c>
      <c r="F7" s="482" t="s">
        <v>460</v>
      </c>
    </row>
    <row r="8" spans="1:6" ht="25.5">
      <c r="A8" s="510" t="s">
        <v>458</v>
      </c>
      <c r="B8" s="481" t="s">
        <v>131</v>
      </c>
      <c r="C8" s="481" t="s">
        <v>454</v>
      </c>
      <c r="D8" s="481" t="s">
        <v>401</v>
      </c>
      <c r="E8" s="481">
        <v>1.5</v>
      </c>
      <c r="F8" s="482" t="s">
        <v>459</v>
      </c>
    </row>
    <row r="9" spans="1:6" ht="25.5">
      <c r="A9" s="510" t="s">
        <v>458</v>
      </c>
      <c r="B9" s="481" t="s">
        <v>131</v>
      </c>
      <c r="C9" s="481" t="s">
        <v>454</v>
      </c>
      <c r="D9" s="481" t="s">
        <v>401</v>
      </c>
      <c r="E9" s="481">
        <v>1.6</v>
      </c>
      <c r="F9" s="482" t="s">
        <v>461</v>
      </c>
    </row>
    <row r="10" spans="1:6" ht="51">
      <c r="A10" s="510">
        <f ca="1">TODAY()</f>
        <v>42435</v>
      </c>
      <c r="B10" s="481" t="s">
        <v>114</v>
      </c>
      <c r="C10" s="481" t="s">
        <v>502</v>
      </c>
      <c r="D10" s="481" t="s">
        <v>401</v>
      </c>
      <c r="E10" s="481"/>
      <c r="F10" s="482" t="s">
        <v>503</v>
      </c>
    </row>
    <row r="11" spans="1:6">
      <c r="A11" s="510"/>
      <c r="B11" s="481"/>
      <c r="C11" s="481"/>
      <c r="D11" s="481"/>
      <c r="E11" s="481"/>
      <c r="F11" s="482"/>
    </row>
    <row r="12" spans="1:6">
      <c r="A12" s="510"/>
      <c r="B12" s="481"/>
      <c r="C12" s="481"/>
      <c r="D12" s="481"/>
      <c r="E12" s="481"/>
      <c r="F12" s="482"/>
    </row>
    <row r="13" spans="1:6">
      <c r="A13" s="510"/>
      <c r="B13" s="481"/>
      <c r="C13" s="481"/>
      <c r="D13" s="481"/>
      <c r="E13" s="481"/>
      <c r="F13" s="482"/>
    </row>
    <row r="14" spans="1:6">
      <c r="A14" s="510"/>
      <c r="B14" s="481"/>
      <c r="C14" s="481"/>
      <c r="D14" s="481"/>
      <c r="E14" s="481"/>
      <c r="F14" s="482"/>
    </row>
    <row r="15" spans="1:6">
      <c r="A15" s="510"/>
      <c r="B15" s="481"/>
      <c r="C15" s="481"/>
      <c r="D15" s="481"/>
      <c r="E15" s="481"/>
      <c r="F15" s="482"/>
    </row>
    <row r="16" spans="1:6">
      <c r="A16" s="510"/>
      <c r="B16" s="481"/>
      <c r="C16" s="481"/>
      <c r="D16" s="481"/>
      <c r="E16" s="481"/>
      <c r="F16" s="482"/>
    </row>
    <row r="17" spans="1:6">
      <c r="A17" s="510"/>
      <c r="B17" s="481"/>
      <c r="C17" s="481"/>
      <c r="D17" s="481"/>
      <c r="E17" s="481"/>
      <c r="F17" s="482"/>
    </row>
    <row r="18" spans="1:6">
      <c r="A18" s="510"/>
      <c r="B18" s="481"/>
      <c r="C18" s="481"/>
      <c r="D18" s="481"/>
      <c r="E18" s="481"/>
      <c r="F18" s="482"/>
    </row>
    <row r="19" spans="1:6">
      <c r="A19" s="510"/>
      <c r="B19" s="481"/>
      <c r="C19" s="481"/>
      <c r="D19" s="481"/>
      <c r="E19" s="481"/>
      <c r="F19" s="482"/>
    </row>
    <row r="20" spans="1:6">
      <c r="A20" s="510"/>
      <c r="B20" s="481"/>
      <c r="C20" s="481"/>
      <c r="D20" s="481"/>
      <c r="E20" s="481"/>
      <c r="F20" s="482"/>
    </row>
    <row r="21" spans="1:6">
      <c r="A21" s="510"/>
      <c r="B21" s="481"/>
      <c r="C21" s="481"/>
      <c r="D21" s="481"/>
      <c r="E21" s="481"/>
      <c r="F21" s="482"/>
    </row>
    <row r="22" spans="1:6">
      <c r="A22" s="510"/>
      <c r="B22" s="481"/>
      <c r="C22" s="481"/>
      <c r="D22" s="481"/>
      <c r="E22" s="481"/>
      <c r="F22" s="482"/>
    </row>
    <row r="23" spans="1:6">
      <c r="A23" s="510"/>
      <c r="B23" s="481"/>
      <c r="C23" s="481"/>
      <c r="D23" s="481"/>
      <c r="E23" s="481"/>
      <c r="F23" s="482"/>
    </row>
    <row r="24" spans="1:6">
      <c r="A24" s="510"/>
      <c r="B24" s="481"/>
      <c r="C24" s="481"/>
      <c r="D24" s="481"/>
      <c r="E24" s="481"/>
      <c r="F24" s="482"/>
    </row>
    <row r="25" spans="1:6">
      <c r="A25" s="510"/>
      <c r="B25" s="481"/>
      <c r="C25" s="481"/>
      <c r="D25" s="481"/>
      <c r="E25" s="481"/>
      <c r="F25" s="482"/>
    </row>
    <row r="26" spans="1:6">
      <c r="A26" s="510"/>
      <c r="B26" s="481"/>
      <c r="C26" s="481"/>
      <c r="D26" s="481"/>
      <c r="E26" s="481"/>
      <c r="F26" s="482"/>
    </row>
    <row r="27" spans="1:6">
      <c r="A27" s="510"/>
      <c r="B27" s="481"/>
      <c r="C27" s="481"/>
      <c r="D27" s="481"/>
      <c r="E27" s="481"/>
      <c r="F27" s="482"/>
    </row>
    <row r="28" spans="1:6">
      <c r="A28" s="510"/>
      <c r="B28" s="481"/>
      <c r="C28" s="481"/>
      <c r="D28" s="481"/>
      <c r="E28" s="481"/>
      <c r="F28" s="482"/>
    </row>
    <row r="29" spans="1:6">
      <c r="A29" s="510"/>
      <c r="B29" s="481"/>
      <c r="C29" s="481"/>
      <c r="D29" s="481"/>
      <c r="E29" s="481"/>
      <c r="F29" s="482"/>
    </row>
    <row r="30" spans="1:6">
      <c r="A30" s="510"/>
      <c r="B30" s="481"/>
      <c r="C30" s="481"/>
      <c r="D30" s="481"/>
      <c r="E30" s="481"/>
      <c r="F30" s="482"/>
    </row>
    <row r="31" spans="1:6">
      <c r="A31" s="510"/>
      <c r="B31" s="481"/>
      <c r="C31" s="481"/>
      <c r="D31" s="481"/>
      <c r="E31" s="481"/>
      <c r="F31" s="482"/>
    </row>
    <row r="32" spans="1:6">
      <c r="A32" s="510"/>
      <c r="B32" s="481"/>
      <c r="C32" s="481"/>
      <c r="D32" s="481"/>
      <c r="E32" s="481"/>
      <c r="F32" s="482"/>
    </row>
    <row r="33" spans="1:6">
      <c r="A33" s="511"/>
      <c r="B33" s="483"/>
      <c r="C33" s="483"/>
      <c r="D33" s="483"/>
      <c r="E33" s="483"/>
      <c r="F33" s="483"/>
    </row>
    <row r="34" spans="1:6">
      <c r="A34" s="511"/>
      <c r="B34" s="483"/>
      <c r="C34" s="483"/>
      <c r="D34" s="483"/>
      <c r="E34" s="483"/>
      <c r="F34" s="483"/>
    </row>
    <row r="35" spans="1:6">
      <c r="A35" s="511"/>
      <c r="B35" s="483"/>
      <c r="C35" s="483"/>
      <c r="D35" s="483"/>
      <c r="E35" s="483"/>
      <c r="F35" s="483"/>
    </row>
    <row r="36" spans="1:6">
      <c r="A36" s="511"/>
      <c r="B36" s="483"/>
      <c r="C36" s="483"/>
      <c r="D36" s="483"/>
      <c r="E36" s="483"/>
      <c r="F36" s="483"/>
    </row>
    <row r="37" spans="1:6">
      <c r="A37" s="511"/>
      <c r="B37" s="483"/>
      <c r="C37" s="483"/>
      <c r="D37" s="483"/>
      <c r="E37" s="483"/>
      <c r="F37" s="483"/>
    </row>
    <row r="38" spans="1:6">
      <c r="A38" s="511"/>
      <c r="B38" s="483"/>
      <c r="C38" s="483"/>
      <c r="D38" s="483"/>
      <c r="E38" s="483"/>
      <c r="F38" s="483"/>
    </row>
    <row r="39" spans="1:6">
      <c r="A39" s="511"/>
      <c r="B39" s="483"/>
      <c r="C39" s="483"/>
      <c r="D39" s="483"/>
      <c r="E39" s="483"/>
      <c r="F39" s="483"/>
    </row>
    <row r="40" spans="1:6">
      <c r="A40" s="511"/>
      <c r="B40" s="483"/>
      <c r="C40" s="483"/>
      <c r="D40" s="483"/>
      <c r="E40" s="483"/>
      <c r="F40" s="483"/>
    </row>
    <row r="41" spans="1:6">
      <c r="A41" s="511"/>
      <c r="B41" s="483"/>
      <c r="C41" s="483"/>
      <c r="D41" s="483"/>
      <c r="E41" s="483"/>
      <c r="F41" s="483"/>
    </row>
    <row r="42" spans="1:6">
      <c r="A42" s="511"/>
      <c r="B42" s="483"/>
      <c r="C42" s="483"/>
      <c r="D42" s="483"/>
      <c r="E42" s="483"/>
      <c r="F42" s="483"/>
    </row>
    <row r="43" spans="1:6">
      <c r="A43" s="511"/>
      <c r="B43" s="483"/>
      <c r="C43" s="483"/>
      <c r="D43" s="483"/>
      <c r="E43" s="483"/>
      <c r="F43" s="483"/>
    </row>
    <row r="44" spans="1:6">
      <c r="A44" s="511"/>
      <c r="B44" s="483"/>
      <c r="C44" s="483"/>
      <c r="D44" s="483"/>
      <c r="E44" s="483"/>
      <c r="F44" s="483"/>
    </row>
    <row r="45" spans="1:6">
      <c r="A45" s="511"/>
      <c r="B45" s="483"/>
      <c r="C45" s="483"/>
      <c r="D45" s="483"/>
      <c r="E45" s="483"/>
      <c r="F45" s="483"/>
    </row>
    <row r="46" spans="1:6">
      <c r="A46" s="511"/>
      <c r="B46" s="483"/>
      <c r="C46" s="483"/>
      <c r="D46" s="483"/>
      <c r="E46" s="483"/>
      <c r="F46" s="483"/>
    </row>
    <row r="47" spans="1:6">
      <c r="A47" s="511"/>
      <c r="B47" s="483"/>
      <c r="C47" s="483"/>
      <c r="D47" s="483"/>
      <c r="E47" s="483"/>
      <c r="F47" s="483"/>
    </row>
    <row r="48" spans="1:6">
      <c r="A48" s="511"/>
      <c r="B48" s="483"/>
      <c r="C48" s="483"/>
      <c r="D48" s="483"/>
      <c r="E48" s="483"/>
      <c r="F48" s="483"/>
    </row>
    <row r="49" spans="1:6">
      <c r="A49" s="511"/>
      <c r="B49" s="483"/>
      <c r="C49" s="483"/>
      <c r="D49" s="483"/>
      <c r="E49" s="483"/>
      <c r="F49" s="483"/>
    </row>
    <row r="50" spans="1:6">
      <c r="A50" s="511"/>
      <c r="B50" s="483"/>
      <c r="C50" s="483"/>
      <c r="D50" s="483"/>
      <c r="E50" s="483"/>
      <c r="F50" s="483"/>
    </row>
    <row r="51" spans="1:6">
      <c r="A51" s="511"/>
      <c r="B51" s="483"/>
      <c r="C51" s="483"/>
      <c r="D51" s="483"/>
      <c r="E51" s="483"/>
      <c r="F51" s="483"/>
    </row>
    <row r="52" spans="1:6">
      <c r="A52" s="511"/>
      <c r="B52" s="483"/>
      <c r="C52" s="483"/>
      <c r="D52" s="483"/>
      <c r="E52" s="483"/>
      <c r="F52" s="483"/>
    </row>
    <row r="53" spans="1:6">
      <c r="A53" s="511"/>
      <c r="B53" s="483"/>
      <c r="C53" s="483"/>
      <c r="D53" s="483"/>
      <c r="E53" s="483"/>
      <c r="F53" s="483"/>
    </row>
    <row r="54" spans="1:6">
      <c r="A54" s="511"/>
      <c r="B54" s="483"/>
      <c r="C54" s="483"/>
      <c r="D54" s="483"/>
      <c r="E54" s="483"/>
      <c r="F54" s="483"/>
    </row>
    <row r="55" spans="1:6">
      <c r="A55" s="511"/>
      <c r="B55" s="483"/>
      <c r="C55" s="483"/>
      <c r="D55" s="483"/>
      <c r="E55" s="483"/>
      <c r="F55" s="483"/>
    </row>
    <row r="56" spans="1:6">
      <c r="A56" s="511"/>
      <c r="B56" s="483"/>
      <c r="C56" s="483"/>
      <c r="D56" s="483"/>
      <c r="E56" s="483"/>
      <c r="F56" s="483"/>
    </row>
    <row r="57" spans="1:6">
      <c r="A57" s="511"/>
      <c r="B57" s="483"/>
      <c r="C57" s="483"/>
      <c r="D57" s="483"/>
      <c r="E57" s="483"/>
      <c r="F57" s="483"/>
    </row>
    <row r="58" spans="1:6">
      <c r="A58" s="511"/>
      <c r="B58" s="483"/>
      <c r="C58" s="483"/>
      <c r="D58" s="483"/>
      <c r="E58" s="483"/>
      <c r="F58" s="483"/>
    </row>
    <row r="59" spans="1:6">
      <c r="A59" s="511"/>
      <c r="B59" s="483"/>
      <c r="C59" s="483"/>
      <c r="D59" s="483"/>
      <c r="E59" s="483"/>
      <c r="F59" s="483"/>
    </row>
    <row r="60" spans="1:6">
      <c r="A60" s="511"/>
      <c r="B60" s="483"/>
      <c r="C60" s="483"/>
      <c r="D60" s="483"/>
      <c r="E60" s="483"/>
      <c r="F60" s="483"/>
    </row>
    <row r="61" spans="1:6">
      <c r="A61" s="511"/>
      <c r="B61" s="483"/>
      <c r="C61" s="483"/>
      <c r="D61" s="483"/>
      <c r="E61" s="483"/>
      <c r="F61" s="483"/>
    </row>
    <row r="62" spans="1:6">
      <c r="A62" s="511"/>
      <c r="B62" s="483"/>
      <c r="C62" s="483"/>
      <c r="D62" s="483"/>
      <c r="E62" s="483"/>
      <c r="F62" s="483"/>
    </row>
    <row r="63" spans="1:6">
      <c r="A63" s="511"/>
      <c r="B63" s="483"/>
      <c r="C63" s="483"/>
      <c r="D63" s="483"/>
      <c r="E63" s="483"/>
      <c r="F63" s="483"/>
    </row>
    <row r="64" spans="1:6">
      <c r="A64" s="511"/>
      <c r="B64" s="483"/>
      <c r="C64" s="483"/>
      <c r="D64" s="483"/>
      <c r="E64" s="483"/>
      <c r="F64" s="483"/>
    </row>
    <row r="65" spans="1:6">
      <c r="A65" s="511"/>
      <c r="B65" s="483"/>
      <c r="C65" s="483"/>
      <c r="D65" s="483"/>
      <c r="E65" s="483"/>
      <c r="F65" s="483"/>
    </row>
    <row r="66" spans="1:6">
      <c r="A66" s="511"/>
      <c r="B66" s="483"/>
      <c r="C66" s="483"/>
      <c r="D66" s="483"/>
      <c r="E66" s="483"/>
      <c r="F66" s="483"/>
    </row>
    <row r="67" spans="1:6">
      <c r="A67" s="511"/>
      <c r="B67" s="483"/>
      <c r="C67" s="483"/>
      <c r="D67" s="483"/>
      <c r="E67" s="483"/>
      <c r="F67" s="483"/>
    </row>
    <row r="68" spans="1:6">
      <c r="A68" s="511"/>
      <c r="B68" s="483"/>
      <c r="C68" s="483"/>
      <c r="D68" s="483"/>
      <c r="E68" s="483"/>
      <c r="F68" s="483"/>
    </row>
    <row r="69" spans="1:6">
      <c r="A69" s="511"/>
      <c r="B69" s="483"/>
      <c r="C69" s="483"/>
      <c r="D69" s="483"/>
      <c r="E69" s="483"/>
      <c r="F69" s="483"/>
    </row>
    <row r="70" spans="1:6">
      <c r="A70" s="511"/>
      <c r="B70" s="483"/>
      <c r="C70" s="483"/>
      <c r="D70" s="483"/>
      <c r="E70" s="483"/>
      <c r="F70" s="483"/>
    </row>
    <row r="71" spans="1:6">
      <c r="A71" s="511"/>
      <c r="B71" s="483"/>
      <c r="C71" s="483"/>
      <c r="D71" s="483"/>
      <c r="E71" s="483"/>
      <c r="F71" s="483"/>
    </row>
    <row r="72" spans="1:6">
      <c r="A72" s="511"/>
      <c r="B72" s="483"/>
      <c r="C72" s="483"/>
      <c r="D72" s="483"/>
      <c r="E72" s="483"/>
      <c r="F72" s="483"/>
    </row>
    <row r="73" spans="1:6">
      <c r="A73" s="511"/>
      <c r="B73" s="483"/>
      <c r="C73" s="483"/>
      <c r="D73" s="483"/>
      <c r="E73" s="483"/>
      <c r="F73" s="483"/>
    </row>
    <row r="74" spans="1:6">
      <c r="A74" s="511"/>
      <c r="B74" s="483"/>
      <c r="C74" s="483"/>
      <c r="D74" s="483"/>
      <c r="E74" s="483"/>
      <c r="F74" s="483"/>
    </row>
    <row r="75" spans="1:6">
      <c r="A75" s="511"/>
      <c r="B75" s="483"/>
      <c r="C75" s="483"/>
      <c r="D75" s="483"/>
      <c r="E75" s="483"/>
      <c r="F75" s="483"/>
    </row>
    <row r="76" spans="1:6">
      <c r="A76" s="511"/>
      <c r="B76" s="483"/>
      <c r="C76" s="483"/>
      <c r="D76" s="483"/>
      <c r="E76" s="483"/>
      <c r="F76" s="483"/>
    </row>
    <row r="77" spans="1:6">
      <c r="A77" s="511"/>
      <c r="B77" s="483"/>
      <c r="C77" s="483"/>
      <c r="D77" s="483"/>
      <c r="E77" s="483"/>
      <c r="F77" s="483"/>
    </row>
    <row r="78" spans="1:6">
      <c r="A78" s="511"/>
      <c r="B78" s="483"/>
      <c r="C78" s="483"/>
      <c r="D78" s="483"/>
      <c r="E78" s="483"/>
      <c r="F78" s="483"/>
    </row>
    <row r="79" spans="1:6">
      <c r="A79" s="511"/>
      <c r="B79" s="483"/>
      <c r="C79" s="483"/>
      <c r="D79" s="483"/>
      <c r="E79" s="483"/>
      <c r="F79" s="483"/>
    </row>
    <row r="80" spans="1:6">
      <c r="A80" s="511"/>
      <c r="B80" s="483"/>
      <c r="C80" s="483"/>
      <c r="D80" s="483"/>
      <c r="E80" s="483"/>
      <c r="F80" s="483"/>
    </row>
    <row r="81" spans="1:6">
      <c r="A81" s="511"/>
      <c r="B81" s="483"/>
      <c r="C81" s="483"/>
      <c r="D81" s="483"/>
      <c r="E81" s="483"/>
      <c r="F81" s="483"/>
    </row>
    <row r="82" spans="1:6">
      <c r="A82" s="511"/>
      <c r="B82" s="483"/>
      <c r="C82" s="483"/>
      <c r="D82" s="483"/>
      <c r="E82" s="483"/>
      <c r="F82" s="483"/>
    </row>
    <row r="83" spans="1:6">
      <c r="A83" s="511"/>
      <c r="B83" s="483"/>
      <c r="C83" s="483"/>
      <c r="D83" s="483"/>
      <c r="E83" s="483"/>
      <c r="F83" s="483"/>
    </row>
    <row r="84" spans="1:6">
      <c r="A84" s="511"/>
      <c r="B84" s="483"/>
      <c r="C84" s="483"/>
      <c r="D84" s="483"/>
      <c r="E84" s="483"/>
      <c r="F84" s="483"/>
    </row>
    <row r="85" spans="1:6">
      <c r="A85" s="511"/>
      <c r="B85" s="483"/>
      <c r="C85" s="483"/>
      <c r="D85" s="483"/>
      <c r="E85" s="483"/>
      <c r="F85" s="483"/>
    </row>
    <row r="86" spans="1:6">
      <c r="A86" s="511"/>
      <c r="B86" s="483"/>
      <c r="C86" s="483"/>
      <c r="D86" s="483"/>
      <c r="E86" s="483"/>
      <c r="F86" s="483"/>
    </row>
    <row r="87" spans="1:6">
      <c r="A87" s="511"/>
      <c r="B87" s="483"/>
      <c r="C87" s="483"/>
      <c r="D87" s="483"/>
      <c r="E87" s="483"/>
      <c r="F87" s="483"/>
    </row>
    <row r="88" spans="1:6">
      <c r="A88" s="511"/>
      <c r="B88" s="483"/>
      <c r="C88" s="483"/>
      <c r="D88" s="483"/>
      <c r="E88" s="483"/>
      <c r="F88" s="483"/>
    </row>
    <row r="89" spans="1:6">
      <c r="A89" s="511"/>
      <c r="B89" s="483"/>
      <c r="C89" s="483"/>
      <c r="D89" s="483"/>
      <c r="E89" s="483"/>
      <c r="F89" s="483"/>
    </row>
    <row r="90" spans="1:6">
      <c r="A90" s="511"/>
      <c r="B90" s="483"/>
      <c r="C90" s="483"/>
      <c r="D90" s="483"/>
      <c r="E90" s="483"/>
      <c r="F90" s="483"/>
    </row>
    <row r="91" spans="1:6">
      <c r="A91" s="511"/>
      <c r="B91" s="483"/>
      <c r="C91" s="483"/>
      <c r="D91" s="483"/>
      <c r="E91" s="483"/>
      <c r="F91" s="483"/>
    </row>
    <row r="92" spans="1:6">
      <c r="A92" s="511"/>
      <c r="B92" s="483"/>
      <c r="C92" s="483"/>
      <c r="D92" s="483"/>
      <c r="E92" s="483"/>
      <c r="F92" s="483"/>
    </row>
    <row r="93" spans="1:6">
      <c r="A93" s="511"/>
      <c r="B93" s="483"/>
      <c r="C93" s="483"/>
      <c r="D93" s="483"/>
      <c r="E93" s="483"/>
      <c r="F93" s="483"/>
    </row>
    <row r="94" spans="1:6">
      <c r="A94" s="511"/>
      <c r="B94" s="483"/>
      <c r="C94" s="483"/>
      <c r="D94" s="483"/>
      <c r="E94" s="483"/>
      <c r="F94" s="483"/>
    </row>
    <row r="95" spans="1:6">
      <c r="A95" s="511"/>
      <c r="B95" s="483"/>
      <c r="C95" s="483"/>
      <c r="D95" s="483"/>
      <c r="E95" s="483"/>
      <c r="F95" s="483"/>
    </row>
    <row r="96" spans="1:6">
      <c r="A96" s="511"/>
      <c r="B96" s="483"/>
      <c r="C96" s="483"/>
      <c r="D96" s="483"/>
      <c r="E96" s="483"/>
      <c r="F96" s="483"/>
    </row>
    <row r="97" spans="1:6">
      <c r="A97" s="511"/>
      <c r="B97" s="483"/>
      <c r="C97" s="483"/>
      <c r="D97" s="483"/>
      <c r="E97" s="483"/>
      <c r="F97" s="483"/>
    </row>
    <row r="98" spans="1:6">
      <c r="A98" s="511"/>
      <c r="B98" s="483"/>
      <c r="C98" s="483"/>
      <c r="D98" s="483"/>
      <c r="E98" s="483"/>
      <c r="F98" s="483"/>
    </row>
    <row r="99" spans="1:6">
      <c r="A99" s="511"/>
      <c r="B99" s="483"/>
      <c r="C99" s="483"/>
      <c r="D99" s="483"/>
      <c r="E99" s="483"/>
      <c r="F99" s="483"/>
    </row>
    <row r="100" spans="1:6">
      <c r="A100" s="511"/>
      <c r="B100" s="483"/>
      <c r="C100" s="483"/>
      <c r="D100" s="483"/>
      <c r="E100" s="483"/>
      <c r="F100" s="483"/>
    </row>
    <row r="101" spans="1:6">
      <c r="A101" s="511"/>
      <c r="B101" s="483"/>
      <c r="C101" s="483"/>
      <c r="D101" s="483"/>
      <c r="E101" s="483"/>
      <c r="F101" s="483"/>
    </row>
    <row r="102" spans="1:6">
      <c r="A102" s="511"/>
      <c r="B102" s="483"/>
      <c r="C102" s="483"/>
      <c r="D102" s="483"/>
      <c r="E102" s="483"/>
      <c r="F102" s="483"/>
    </row>
    <row r="103" spans="1:6">
      <c r="A103" s="511"/>
      <c r="B103" s="483"/>
      <c r="C103" s="483"/>
      <c r="D103" s="483"/>
      <c r="E103" s="483"/>
      <c r="F103" s="483"/>
    </row>
    <row r="104" spans="1:6">
      <c r="A104" s="511"/>
      <c r="B104" s="483"/>
      <c r="C104" s="483"/>
      <c r="D104" s="483"/>
      <c r="E104" s="483"/>
      <c r="F104" s="483"/>
    </row>
    <row r="105" spans="1:6">
      <c r="A105" s="511"/>
      <c r="B105" s="483"/>
      <c r="C105" s="483"/>
      <c r="D105" s="483"/>
      <c r="E105" s="483"/>
      <c r="F105" s="483"/>
    </row>
    <row r="106" spans="1:6">
      <c r="A106" s="511"/>
      <c r="B106" s="483"/>
      <c r="C106" s="483"/>
      <c r="D106" s="483"/>
      <c r="E106" s="483"/>
      <c r="F106" s="483"/>
    </row>
    <row r="107" spans="1:6">
      <c r="A107" s="511"/>
      <c r="B107" s="483"/>
      <c r="C107" s="483"/>
      <c r="D107" s="483"/>
      <c r="E107" s="483"/>
      <c r="F107" s="483"/>
    </row>
    <row r="108" spans="1:6">
      <c r="A108" s="511"/>
      <c r="B108" s="483"/>
      <c r="C108" s="483"/>
      <c r="D108" s="483"/>
      <c r="E108" s="483"/>
      <c r="F108" s="483"/>
    </row>
    <row r="109" spans="1:6">
      <c r="A109" s="511"/>
      <c r="B109" s="483"/>
      <c r="C109" s="483"/>
      <c r="D109" s="483"/>
      <c r="E109" s="483"/>
      <c r="F109" s="483"/>
    </row>
    <row r="110" spans="1:6">
      <c r="A110" s="511"/>
      <c r="B110" s="483"/>
      <c r="C110" s="483"/>
      <c r="D110" s="483"/>
      <c r="E110" s="483"/>
      <c r="F110" s="483"/>
    </row>
    <row r="111" spans="1:6">
      <c r="A111" s="511"/>
      <c r="B111" s="483"/>
      <c r="C111" s="483"/>
      <c r="D111" s="483"/>
      <c r="E111" s="483"/>
      <c r="F111" s="483"/>
    </row>
    <row r="112" spans="1:6">
      <c r="A112" s="511"/>
      <c r="B112" s="483"/>
      <c r="C112" s="483"/>
      <c r="D112" s="483"/>
      <c r="E112" s="483"/>
      <c r="F112" s="483"/>
    </row>
    <row r="113" spans="1:6">
      <c r="A113" s="511"/>
      <c r="B113" s="483"/>
      <c r="C113" s="483"/>
      <c r="D113" s="483"/>
      <c r="E113" s="483"/>
      <c r="F113" s="483"/>
    </row>
    <row r="114" spans="1:6">
      <c r="A114" s="511"/>
      <c r="B114" s="483"/>
      <c r="C114" s="483"/>
      <c r="D114" s="483"/>
      <c r="E114" s="483"/>
      <c r="F114" s="483"/>
    </row>
    <row r="115" spans="1:6">
      <c r="A115" s="511"/>
      <c r="B115" s="483"/>
      <c r="C115" s="483"/>
      <c r="D115" s="483"/>
      <c r="E115" s="483"/>
      <c r="F115" s="483"/>
    </row>
    <row r="116" spans="1:6">
      <c r="A116" s="511"/>
      <c r="B116" s="483"/>
      <c r="C116" s="483"/>
      <c r="D116" s="483"/>
      <c r="E116" s="483"/>
      <c r="F116" s="483"/>
    </row>
    <row r="117" spans="1:6">
      <c r="A117" s="511"/>
      <c r="B117" s="483"/>
      <c r="C117" s="483"/>
      <c r="D117" s="483"/>
      <c r="E117" s="483"/>
      <c r="F117" s="483"/>
    </row>
    <row r="118" spans="1:6">
      <c r="A118" s="511"/>
      <c r="B118" s="483"/>
      <c r="C118" s="483"/>
      <c r="D118" s="483"/>
      <c r="E118" s="483"/>
      <c r="F118" s="483"/>
    </row>
  </sheetData>
  <phoneticPr fontId="31" type="noConversion"/>
  <pageMargins left="0.75" right="0.75" top="1" bottom="1" header="0.5" footer="0.5"/>
  <pageSetup orientation="landscape" horizontalDpi="4294967295" r:id="rId1"/>
  <headerFooter alignWithMargins="0">
    <oddFooter>&amp;L&amp;8&amp;F: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22</vt:i4>
      </vt:variant>
    </vt:vector>
  </HeadingPairs>
  <TitlesOfParts>
    <vt:vector size="33" baseType="lpstr">
      <vt:lpstr>Menu</vt:lpstr>
      <vt:lpstr>List of Indicators</vt:lpstr>
      <vt:lpstr>Data Entry</vt:lpstr>
      <vt:lpstr>Grant Detail</vt:lpstr>
      <vt:lpstr>Finance</vt:lpstr>
      <vt:lpstr>Programmatic</vt:lpstr>
      <vt:lpstr>Management</vt:lpstr>
      <vt:lpstr>Actions</vt:lpstr>
      <vt:lpstr>Notes</vt:lpstr>
      <vt:lpstr>Recommendations</vt:lpstr>
      <vt:lpstr>Setup</vt:lpstr>
      <vt:lpstr>Component</vt:lpstr>
      <vt:lpstr>Countries</vt:lpstr>
      <vt:lpstr>Currency</vt:lpstr>
      <vt:lpstr>LFA</vt:lpstr>
      <vt:lpstr>Medicaments</vt:lpstr>
      <vt:lpstr>PERIOD</vt:lpstr>
      <vt:lpstr>Phase</vt:lpstr>
      <vt:lpstr>Actions!Print_Area</vt:lpstr>
      <vt:lpstr>Finance!Print_Area</vt:lpstr>
      <vt:lpstr>Management!Print_Area</vt:lpstr>
      <vt:lpstr>Programmatic!Print_Area</vt:lpstr>
      <vt:lpstr>PrintA</vt:lpstr>
      <vt:lpstr>PrintDataF</vt:lpstr>
      <vt:lpstr>PrintDataM</vt:lpstr>
      <vt:lpstr>PrintF</vt:lpstr>
      <vt:lpstr>PrintGD</vt:lpstr>
      <vt:lpstr>Actions!PrintM</vt:lpstr>
      <vt:lpstr>PrintM</vt:lpstr>
      <vt:lpstr>PrintP</vt:lpstr>
      <vt:lpstr>PrintR</vt:lpstr>
      <vt:lpstr>Rating</vt:lpstr>
      <vt:lpstr>Round</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Mahama</dc:creator>
  <cp:lastModifiedBy>user</cp:lastModifiedBy>
  <cp:lastPrinted>2015-05-12T11:08:09Z</cp:lastPrinted>
  <dcterms:created xsi:type="dcterms:W3CDTF">2010-01-15T16:50:41Z</dcterms:created>
  <dcterms:modified xsi:type="dcterms:W3CDTF">2016-03-06T20:55:05Z</dcterms:modified>
</cp:coreProperties>
</file>