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user\Documents\Anne\CCM\CCM related\Oversight\Dashboards\Aug 2015\Malaria\"/>
    </mc:Choice>
  </mc:AlternateContent>
  <bookViews>
    <workbookView xWindow="0" yWindow="0" windowWidth="24000" windowHeight="9135" tabRatio="711" activeTab="5"/>
  </bookViews>
  <sheets>
    <sheet name="Menu" sheetId="1" r:id="rId1"/>
    <sheet name="List of Indicators" sheetId="45" r:id="rId2"/>
    <sheet name="Data Entry" sheetId="29" r:id="rId3"/>
    <sheet name="Grant Detail" sheetId="27" r:id="rId4"/>
    <sheet name="Finance" sheetId="30" r:id="rId5"/>
    <sheet name="Programmatic" sheetId="37" r:id="rId6"/>
    <sheet name="Management" sheetId="35" r:id="rId7"/>
    <sheet name="Recommendations" sheetId="42" r:id="rId8"/>
    <sheet name="Actions" sheetId="39" r:id="rId9"/>
    <sheet name="Notes" sheetId="46" r:id="rId10"/>
    <sheet name="Setup" sheetId="32" state="hidden" r:id="rId11"/>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6">Management!$A$1:$L$34</definedName>
    <definedName name="_xlnm.Print_Area" localSheetId="5">Programmatic!$A$1:$Q$29</definedName>
    <definedName name="PrintA">Actions!$A$2:$L$34</definedName>
    <definedName name="PrintDataF">'Data Entry'!$B$25:$J$69</definedName>
    <definedName name="PrintDataM">'Data Entry'!$B$71:$H$115</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workbook>
</file>

<file path=xl/calcChain.xml><?xml version="1.0" encoding="utf-8"?>
<calcChain xmlns="http://schemas.openxmlformats.org/spreadsheetml/2006/main">
  <c r="F40" i="29" l="1"/>
  <c r="F41" i="29"/>
  <c r="F42" i="29"/>
  <c r="F43" i="29"/>
  <c r="F44" i="29"/>
  <c r="F45" i="29"/>
  <c r="F46" i="29"/>
  <c r="F47" i="29"/>
  <c r="F48" i="29"/>
  <c r="F39" i="29"/>
  <c r="D97" i="29" l="1"/>
  <c r="E97" i="29"/>
  <c r="F97" i="29"/>
  <c r="G97" i="29"/>
  <c r="H97" i="29"/>
  <c r="I97" i="29"/>
  <c r="J97" i="29"/>
  <c r="K97" i="29"/>
  <c r="L97" i="29"/>
  <c r="M97" i="29"/>
  <c r="N97" i="29"/>
  <c r="C97" i="29"/>
  <c r="D48" i="29"/>
  <c r="C48" i="29"/>
  <c r="D47" i="29"/>
  <c r="C47" i="29"/>
  <c r="D46" i="29"/>
  <c r="C46" i="29"/>
  <c r="D45" i="29"/>
  <c r="C45" i="29"/>
  <c r="D44" i="29"/>
  <c r="C44" i="29"/>
  <c r="D43" i="29"/>
  <c r="C43" i="29"/>
  <c r="D41" i="29"/>
  <c r="C41" i="29"/>
  <c r="D40" i="29"/>
  <c r="C40" i="29"/>
  <c r="D39" i="29"/>
  <c r="C39" i="29"/>
  <c r="C51" i="29" l="1"/>
  <c r="C33" i="29"/>
  <c r="R29" i="29" s="1"/>
  <c r="D33" i="29"/>
  <c r="D35" i="29" s="1"/>
  <c r="E33" i="29"/>
  <c r="R31" i="29" s="1"/>
  <c r="F33" i="29"/>
  <c r="R32" i="29" s="1"/>
  <c r="G33" i="29"/>
  <c r="H33" i="29" s="1"/>
  <c r="C104" i="29"/>
  <c r="D104" i="29" s="1"/>
  <c r="E104" i="29" s="1"/>
  <c r="F104" i="29" s="1"/>
  <c r="G104" i="29" s="1"/>
  <c r="H104" i="29" s="1"/>
  <c r="I104" i="29" s="1"/>
  <c r="J104" i="29" s="1"/>
  <c r="K104" i="29" s="1"/>
  <c r="L104" i="29" s="1"/>
  <c r="M104" i="29" s="1"/>
  <c r="N104" i="29" s="1"/>
  <c r="C102" i="29"/>
  <c r="D102" i="29" s="1"/>
  <c r="E102" i="29" s="1"/>
  <c r="F102" i="29" s="1"/>
  <c r="G102" i="29" s="1"/>
  <c r="H102" i="29" s="1"/>
  <c r="I102" i="29" s="1"/>
  <c r="J102" i="29" s="1"/>
  <c r="K102" i="29" s="1"/>
  <c r="L102" i="29" s="1"/>
  <c r="M102" i="29" s="1"/>
  <c r="N102" i="29" s="1"/>
  <c r="N34" i="29"/>
  <c r="D51" i="29"/>
  <c r="K28" i="30"/>
  <c r="J16" i="29"/>
  <c r="G13" i="27"/>
  <c r="B27" i="37"/>
  <c r="B1" i="46"/>
  <c r="G94" i="29"/>
  <c r="F90" i="29"/>
  <c r="H109" i="29"/>
  <c r="G85" i="29"/>
  <c r="E80" i="29"/>
  <c r="F73" i="29"/>
  <c r="E55" i="29"/>
  <c r="E114" i="29"/>
  <c r="G114" i="29"/>
  <c r="I114" i="29"/>
  <c r="E113" i="29"/>
  <c r="G113" i="29"/>
  <c r="I113" i="29"/>
  <c r="E112" i="29"/>
  <c r="G112" i="29"/>
  <c r="I112" i="29"/>
  <c r="E115" i="29"/>
  <c r="S120" i="29"/>
  <c r="R120" i="29"/>
  <c r="Q120" i="29"/>
  <c r="P120" i="29"/>
  <c r="O120" i="29"/>
  <c r="N120" i="29"/>
  <c r="M120" i="29"/>
  <c r="L120" i="29"/>
  <c r="K120" i="29"/>
  <c r="J120" i="29"/>
  <c r="I120" i="29"/>
  <c r="H120" i="29"/>
  <c r="N98" i="29"/>
  <c r="M98" i="29"/>
  <c r="L98" i="29"/>
  <c r="K98" i="29"/>
  <c r="J98" i="29"/>
  <c r="I98" i="29"/>
  <c r="H98" i="29"/>
  <c r="G98" i="29"/>
  <c r="F98" i="29"/>
  <c r="E98" i="29"/>
  <c r="D98" i="29"/>
  <c r="C98" i="29"/>
  <c r="B3" i="27"/>
  <c r="B2" i="37" s="1"/>
  <c r="B2" i="1"/>
  <c r="E27" i="37"/>
  <c r="E26" i="37"/>
  <c r="E25" i="37"/>
  <c r="E24" i="37"/>
  <c r="E23" i="37"/>
  <c r="F25" i="37"/>
  <c r="F24" i="37"/>
  <c r="F23" i="37"/>
  <c r="F26" i="37"/>
  <c r="F27" i="37"/>
  <c r="F28" i="37"/>
  <c r="E28" i="37"/>
  <c r="F22" i="37"/>
  <c r="E22" i="37"/>
  <c r="F21" i="37"/>
  <c r="F20" i="37"/>
  <c r="E21" i="37"/>
  <c r="E20" i="37"/>
  <c r="J3" i="35"/>
  <c r="L3" i="35"/>
  <c r="B7" i="35" s="1"/>
  <c r="I3" i="30"/>
  <c r="H8" i="30" s="1"/>
  <c r="K3" i="30"/>
  <c r="T141" i="29"/>
  <c r="T140" i="29"/>
  <c r="T137" i="29"/>
  <c r="T136" i="29"/>
  <c r="T133" i="29"/>
  <c r="T132" i="29"/>
  <c r="T129" i="29"/>
  <c r="T128" i="29"/>
  <c r="T125" i="29"/>
  <c r="T124" i="29"/>
  <c r="T139" i="29"/>
  <c r="T138" i="29"/>
  <c r="T135" i="29"/>
  <c r="T134" i="29"/>
  <c r="T131" i="29"/>
  <c r="T130" i="29"/>
  <c r="T127" i="29"/>
  <c r="T126" i="29"/>
  <c r="T123" i="29"/>
  <c r="T122" i="29"/>
  <c r="H9" i="27"/>
  <c r="K5" i="30"/>
  <c r="K4" i="30"/>
  <c r="L5" i="35"/>
  <c r="L4" i="35"/>
  <c r="Q5" i="37"/>
  <c r="Q4" i="37"/>
  <c r="M5" i="42"/>
  <c r="M4" i="42"/>
  <c r="L5" i="39"/>
  <c r="L4" i="39"/>
  <c r="C4" i="39"/>
  <c r="C3" i="39"/>
  <c r="B3" i="39"/>
  <c r="C4" i="42"/>
  <c r="C3" i="42"/>
  <c r="B3" i="42"/>
  <c r="C4" i="37"/>
  <c r="C3" i="37"/>
  <c r="B3" i="37"/>
  <c r="C4" i="35"/>
  <c r="C3" i="35"/>
  <c r="B3" i="35"/>
  <c r="C4" i="30"/>
  <c r="C3" i="30"/>
  <c r="B3" i="30"/>
  <c r="I9" i="27"/>
  <c r="G9" i="27"/>
  <c r="G11" i="27"/>
  <c r="D11" i="27"/>
  <c r="B12" i="27"/>
  <c r="I11" i="27"/>
  <c r="D10" i="27"/>
  <c r="B10" i="27"/>
  <c r="B9" i="27"/>
  <c r="B6" i="27"/>
  <c r="B4" i="1"/>
  <c r="E94" i="29"/>
  <c r="E93" i="29"/>
  <c r="C34" i="29"/>
  <c r="D34" i="29"/>
  <c r="E34" i="29"/>
  <c r="F34" i="29"/>
  <c r="G34" i="29"/>
  <c r="H34" i="29"/>
  <c r="I34" i="29"/>
  <c r="J34" i="29"/>
  <c r="K34" i="29"/>
  <c r="L34" i="29"/>
  <c r="M34" i="29"/>
  <c r="D11" i="42"/>
  <c r="D33" i="42"/>
  <c r="D34" i="42"/>
  <c r="D35" i="42"/>
  <c r="D36" i="42"/>
  <c r="D37" i="42"/>
  <c r="D38" i="42"/>
  <c r="D39" i="42"/>
  <c r="D40" i="42"/>
  <c r="D41" i="42"/>
  <c r="D32" i="42"/>
  <c r="D31" i="42"/>
  <c r="D30" i="42"/>
  <c r="D29" i="42"/>
  <c r="G115" i="29"/>
  <c r="I115" i="29"/>
  <c r="K30" i="35"/>
  <c r="K31" i="35"/>
  <c r="K32" i="35"/>
  <c r="K33" i="35"/>
  <c r="L148" i="29"/>
  <c r="M148" i="29"/>
  <c r="N148" i="29"/>
  <c r="O148" i="29"/>
  <c r="P148" i="29"/>
  <c r="Q148" i="29"/>
  <c r="R148" i="29"/>
  <c r="S148" i="29"/>
  <c r="L149" i="29"/>
  <c r="M149" i="29"/>
  <c r="N149" i="29"/>
  <c r="O149" i="29"/>
  <c r="P149" i="29"/>
  <c r="Q149" i="29"/>
  <c r="R149" i="29"/>
  <c r="S149" i="29"/>
  <c r="L150" i="29"/>
  <c r="M150" i="29"/>
  <c r="N150" i="29"/>
  <c r="O150" i="29"/>
  <c r="P150" i="29"/>
  <c r="Q150" i="29"/>
  <c r="R150" i="29"/>
  <c r="S150" i="29"/>
  <c r="L151" i="29"/>
  <c r="M151" i="29"/>
  <c r="N151" i="29"/>
  <c r="O151" i="29"/>
  <c r="P151" i="29"/>
  <c r="Q151" i="29"/>
  <c r="R151" i="29"/>
  <c r="S151" i="29"/>
  <c r="L152" i="29"/>
  <c r="M152" i="29"/>
  <c r="N152" i="29"/>
  <c r="O152" i="29"/>
  <c r="P152" i="29"/>
  <c r="Q152" i="29"/>
  <c r="R152" i="29"/>
  <c r="S152" i="29"/>
  <c r="M147" i="29"/>
  <c r="N147" i="29"/>
  <c r="O147" i="29"/>
  <c r="P147" i="29"/>
  <c r="Q147" i="29"/>
  <c r="R147" i="29"/>
  <c r="S147" i="29"/>
  <c r="F149" i="29"/>
  <c r="F151" i="29"/>
  <c r="F147" i="29"/>
  <c r="E149" i="29"/>
  <c r="E151" i="29"/>
  <c r="E147" i="29"/>
  <c r="B149" i="29"/>
  <c r="B151" i="29"/>
  <c r="B147" i="29"/>
  <c r="B32" i="29"/>
  <c r="D38" i="29"/>
  <c r="C38" i="29"/>
  <c r="B31" i="29"/>
  <c r="H29" i="30"/>
  <c r="H28" i="30"/>
  <c r="H27" i="30"/>
  <c r="D24" i="42"/>
  <c r="D23" i="42"/>
  <c r="D22" i="42"/>
  <c r="D21" i="42"/>
  <c r="D20" i="42"/>
  <c r="D19" i="42"/>
  <c r="D14" i="42"/>
  <c r="D13" i="42"/>
  <c r="D12" i="42"/>
  <c r="B26" i="45"/>
  <c r="B24" i="45"/>
  <c r="B23" i="45"/>
  <c r="B22" i="45"/>
  <c r="B21" i="45"/>
  <c r="B20" i="45"/>
  <c r="B12" i="45"/>
  <c r="B10" i="45"/>
  <c r="B9" i="45"/>
  <c r="B8" i="45"/>
  <c r="B4" i="37"/>
  <c r="B4" i="35"/>
  <c r="B4" i="30"/>
  <c r="G12" i="27"/>
  <c r="H4" i="1"/>
  <c r="K152" i="29"/>
  <c r="K151" i="29"/>
  <c r="K150" i="29"/>
  <c r="K149" i="29"/>
  <c r="K148" i="29"/>
  <c r="K147" i="29"/>
  <c r="G76" i="29"/>
  <c r="K27" i="30"/>
  <c r="J27" i="30"/>
  <c r="J28" i="30"/>
  <c r="K29" i="30"/>
  <c r="J29" i="30"/>
  <c r="E57" i="29"/>
  <c r="E56"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3" i="29"/>
  <c r="D103" i="29"/>
  <c r="E103" i="29" s="1"/>
  <c r="F103" i="29" s="1"/>
  <c r="G103" i="29" s="1"/>
  <c r="H103" i="29" s="1"/>
  <c r="I103" i="29" s="1"/>
  <c r="J103" i="29" s="1"/>
  <c r="K103" i="29" s="1"/>
  <c r="L103" i="29" s="1"/>
  <c r="M103" i="29" s="1"/>
  <c r="N103" i="29" s="1"/>
  <c r="E83" i="29"/>
  <c r="D5" i="35"/>
  <c r="E4" i="35"/>
  <c r="K5" i="35"/>
  <c r="J4" i="35"/>
  <c r="D5" i="37"/>
  <c r="P5" i="37"/>
  <c r="P4" i="37"/>
  <c r="O3" i="37"/>
  <c r="J5" i="30"/>
  <c r="D5" i="30"/>
  <c r="I4" i="30"/>
  <c r="E4" i="30"/>
  <c r="L8" i="37"/>
  <c r="F8" i="37"/>
  <c r="B8" i="37"/>
  <c r="L147" i="29"/>
  <c r="J152" i="29"/>
  <c r="J151" i="29"/>
  <c r="J150" i="29"/>
  <c r="J149" i="29"/>
  <c r="J148" i="29"/>
  <c r="J147" i="29"/>
  <c r="I152" i="29"/>
  <c r="I151" i="29"/>
  <c r="I150" i="29"/>
  <c r="I149" i="29"/>
  <c r="I148" i="29"/>
  <c r="I147" i="29"/>
  <c r="H152" i="29"/>
  <c r="H151" i="29"/>
  <c r="H150" i="29"/>
  <c r="H149" i="29"/>
  <c r="H148" i="29"/>
  <c r="H147" i="29"/>
  <c r="B26" i="37"/>
  <c r="B25" i="37"/>
  <c r="B24" i="37"/>
  <c r="B23" i="37"/>
  <c r="S146" i="29"/>
  <c r="R146" i="29"/>
  <c r="Q146" i="29"/>
  <c r="P146" i="29"/>
  <c r="O146" i="29"/>
  <c r="B22" i="37"/>
  <c r="B21" i="37"/>
  <c r="B20" i="37"/>
  <c r="E59" i="29"/>
  <c r="N146" i="29"/>
  <c r="M146" i="29"/>
  <c r="L146" i="29"/>
  <c r="K146" i="29"/>
  <c r="J146" i="29"/>
  <c r="I146" i="29"/>
  <c r="H146" i="29"/>
  <c r="B36" i="39"/>
  <c r="B34" i="39"/>
  <c r="E58" i="29"/>
  <c r="B34" i="35"/>
  <c r="Z24" i="37"/>
  <c r="AA24" i="37"/>
  <c r="AD24" i="37"/>
  <c r="Z23" i="37"/>
  <c r="AA23" i="37"/>
  <c r="AF23" i="37"/>
  <c r="Z22" i="37"/>
  <c r="AA22" i="37"/>
  <c r="AC22" i="37"/>
  <c r="AE22" i="37"/>
  <c r="AF21" i="37"/>
  <c r="AE21" i="37"/>
  <c r="AD21" i="37"/>
  <c r="AC21" i="37"/>
  <c r="AB21" i="37"/>
  <c r="E20" i="42"/>
  <c r="F20" i="42"/>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G29" i="37"/>
  <c r="B2" i="39"/>
  <c r="AD22" i="37"/>
  <c r="AB22" i="37"/>
  <c r="AB24" i="37"/>
  <c r="AE24" i="37"/>
  <c r="AC24" i="37"/>
  <c r="AF24" i="37"/>
  <c r="AB23" i="37"/>
  <c r="I33" i="29"/>
  <c r="R35" i="29" s="1"/>
  <c r="J33" i="29"/>
  <c r="R53" i="29" s="1"/>
  <c r="K33" i="29"/>
  <c r="R54" i="29" s="1"/>
  <c r="L33" i="29"/>
  <c r="L35" i="29"/>
  <c r="M33" i="29"/>
  <c r="Q55" i="29" s="1"/>
  <c r="N33" i="29"/>
  <c r="N35" i="29" s="1"/>
  <c r="K115" i="29"/>
  <c r="L33" i="35"/>
  <c r="J33" i="35"/>
  <c r="K113" i="29"/>
  <c r="L31" i="35"/>
  <c r="J31" i="35"/>
  <c r="J32" i="35"/>
  <c r="K114" i="29"/>
  <c r="L32" i="35"/>
  <c r="K112" i="29"/>
  <c r="L30" i="35"/>
  <c r="J30" i="35"/>
  <c r="AC23" i="37"/>
  <c r="AE23" i="37"/>
  <c r="AD23" i="37"/>
  <c r="AF22" i="37"/>
  <c r="F35" i="29" l="1"/>
  <c r="I35" i="29"/>
  <c r="E35" i="29"/>
  <c r="R30" i="29"/>
  <c r="J35" i="29"/>
  <c r="B2" i="30"/>
  <c r="B8" i="30"/>
  <c r="B15" i="35"/>
  <c r="B2" i="42"/>
  <c r="B2" i="45"/>
  <c r="B2" i="35"/>
  <c r="B3" i="32"/>
  <c r="H26" i="35"/>
  <c r="H15" i="35"/>
  <c r="H7" i="35"/>
  <c r="B22" i="30"/>
  <c r="H22" i="30"/>
  <c r="G35" i="29"/>
  <c r="G21" i="37"/>
  <c r="G22" i="37"/>
  <c r="G27" i="37"/>
  <c r="G26" i="37"/>
  <c r="F51" i="29"/>
  <c r="H35" i="29"/>
  <c r="R34" i="29"/>
  <c r="R33" i="29"/>
  <c r="C35" i="29"/>
  <c r="M35" i="29"/>
  <c r="K35" i="29"/>
  <c r="G23" i="37"/>
  <c r="G28" i="37"/>
  <c r="G24" i="37"/>
  <c r="G20" i="37"/>
  <c r="G25" i="37"/>
  <c r="O31" i="29" l="1"/>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rPr>
          <t>To define your periods (eg. P1, P2, P3 etc or P9, P10, P11 etc) you need to unprotect the cells.</t>
        </r>
      </text>
    </comment>
    <comment ref="B76" authorId="1" shapeId="0">
      <text>
        <r>
          <rPr>
            <b/>
            <sz val="8"/>
            <color indexed="81"/>
            <rFont val="Tahoma"/>
            <family val="2"/>
          </rPr>
          <t xml:space="preserve">If data are not available, do not enter zeros; rather, leave the cells in the table blank. </t>
        </r>
      </text>
    </comment>
    <comment ref="B77" authorId="1" shapeId="0">
      <text>
        <r>
          <rPr>
            <b/>
            <sz val="8"/>
            <color indexed="81"/>
            <rFont val="Tahoma"/>
            <family val="2"/>
          </rPr>
          <t>If data are not available, do not enter zeros; rather, leave the cells in this table blank.</t>
        </r>
      </text>
    </comment>
    <comment ref="B83" authorId="0" shapeId="0">
      <text>
        <r>
          <rPr>
            <sz val="8"/>
            <color indexed="81"/>
            <rFont val="Tahoma"/>
            <family val="2"/>
          </rPr>
          <t xml:space="preserve">If data are not available, do not enter zeros; rather, leave the cells in this table blank. </t>
        </r>
      </text>
    </comment>
    <comment ref="B98" authorId="0" shapeId="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<sst xmlns="http://schemas.openxmlformats.org/spreadsheetml/2006/main" count="657" uniqueCount="528">
  <si>
    <r>
      <t>Days taken for disbursement to reach SRs</t>
    </r>
    <r>
      <rPr>
        <sz val="10"/>
        <color indexed="8"/>
        <rFont val="Arial"/>
        <family val="2"/>
      </rPr>
      <t xml:space="preserve"> – 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</si>
  <si>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r>
      <t xml:space="preserve">SR expenditures: Prior to this Reporting period: </t>
    </r>
    <r>
      <rPr>
        <sz val="10"/>
        <color indexed="8"/>
        <rFont val="Arial"/>
        <family val="2"/>
      </rPr>
      <t>The sum of all expenditures reported by the SRs, up to but not including dashboard reporting period.   SR expenditures: Reporting period: The sum of all expenditures reported by the SRs, during dashboard reporting period.</t>
    </r>
  </si>
  <si>
    <r>
      <t>Disbursement by GF: Prior to this Reporting period:</t>
    </r>
    <r>
      <rPr>
        <sz val="10"/>
        <color indexed="8"/>
        <rFont val="Arial"/>
        <family val="2"/>
      </rPr>
      <t xml:space="preserve"> Sum of amounts transferred by the GF to either the PR or paid directly to suppliers (e.g. drugs, equipment, bed nets), up to </t>
    </r>
    <r>
      <rPr>
        <b/>
        <i/>
        <sz val="10"/>
        <color indexed="8"/>
        <rFont val="Arial"/>
        <family val="2"/>
      </rPr>
      <t>but not including</t>
    </r>
    <r>
      <rPr>
        <sz val="10"/>
        <color indexed="8"/>
        <rFont val="Arial"/>
        <family val="2"/>
      </rPr>
      <t xml:space="preserve"> dashboard reporting period. </t>
    </r>
    <r>
      <rPr>
        <b/>
        <sz val="10"/>
        <color indexed="8"/>
        <rFont val="Arial"/>
        <family val="2"/>
      </rPr>
      <t>Disbursement by GF: Reporting period:</t>
    </r>
    <r>
      <rPr>
        <sz val="10"/>
        <color indexed="8"/>
        <rFont val="Arial"/>
        <family val="2"/>
      </rPr>
      <t xml:space="preserve"> Sum of amounts transferred by the GF to either the PR or paid directly to suppliers (e.g. drugs, equipment, bed nets), during dashboard reporting period. 
</t>
    </r>
    <r>
      <rPr>
        <b/>
        <sz val="10"/>
        <color indexed="8"/>
        <rFont val="Arial"/>
        <family val="2"/>
      </rPr>
      <t>PR disbursements and expenditure:</t>
    </r>
    <r>
      <rPr>
        <sz val="10"/>
        <color indexed="8"/>
        <rFont val="Arial"/>
        <family val="2"/>
      </rPr>
      <t xml:space="preserve">  </t>
    </r>
    <r>
      <rPr>
        <b/>
        <sz val="10"/>
        <color indexed="8"/>
        <rFont val="Arial"/>
        <family val="2"/>
      </rPr>
      <t>Prior to this Reporting period:</t>
    </r>
    <r>
      <rPr>
        <sz val="10"/>
        <color indexed="8"/>
        <rFont val="Arial"/>
        <family val="2"/>
      </rPr>
      <t xml:space="preserve"> Total funds reported as being spent by the PR and/or disbursed to the Sub Recipients (SRs) up to </t>
    </r>
    <r>
      <rPr>
        <b/>
        <i/>
        <sz val="10"/>
        <color indexed="8"/>
        <rFont val="Arial"/>
        <family val="2"/>
      </rPr>
      <t xml:space="preserve">but not including </t>
    </r>
    <r>
      <rPr>
        <sz val="10"/>
        <color indexed="8"/>
        <rFont val="Arial"/>
        <family val="2"/>
      </rPr>
      <t>dashboard reporting period.</t>
    </r>
    <r>
      <rPr>
        <b/>
        <sz val="10"/>
        <color indexed="8"/>
        <rFont val="Arial"/>
        <family val="2"/>
      </rPr>
      <t xml:space="preserve"> PR disbursements and expenditure:  Reporting period:</t>
    </r>
    <r>
      <rPr>
        <sz val="10"/>
        <color indexed="8"/>
        <rFont val="Arial"/>
        <family val="2"/>
      </rPr>
      <t xml:space="preserve"> Total funds reported as being spent by the PR and/or disbursed to the Sub Recipients (SRs) during dashboard reporting period.</t>
    </r>
    <r>
      <rPr>
        <b/>
        <sz val="10"/>
        <color indexed="8"/>
        <rFont val="Arial"/>
        <family val="2"/>
      </rPr>
      <t xml:space="preserve">
Disbursements to SRs: Prior to this Reporting period: </t>
    </r>
    <r>
      <rPr>
        <sz val="10"/>
        <color indexed="8"/>
        <rFont val="Arial"/>
        <family val="2"/>
      </rPr>
      <t xml:space="preserve">The total amount transferred by the PR to Sub Recipients (SRs), up to </t>
    </r>
    <r>
      <rPr>
        <b/>
        <i/>
        <sz val="10"/>
        <color indexed="8"/>
        <rFont val="Arial"/>
        <family val="2"/>
      </rPr>
      <t>but not including</t>
    </r>
    <r>
      <rPr>
        <sz val="10"/>
        <color indexed="8"/>
        <rFont val="Arial"/>
        <family val="2"/>
      </rPr>
      <t xml:space="preserve"> dashboard reporting period. </t>
    </r>
    <r>
      <rPr>
        <b/>
        <sz val="10"/>
        <color indexed="8"/>
        <rFont val="Arial"/>
        <family val="2"/>
      </rPr>
      <t xml:space="preserve">Disbursements to SRs:Reporting period: </t>
    </r>
    <r>
      <rPr>
        <sz val="10"/>
        <color indexed="8"/>
        <rFont val="Arial"/>
        <family val="2"/>
      </rPr>
      <t>The total amount transferred by the PR to Sub Recipients (SRs), in dashboard reporting period.</t>
    </r>
  </si>
  <si>
    <r>
      <t xml:space="preserve">Cumulative Budget per Objective:  </t>
    </r>
    <r>
      <rPr>
        <sz val="10"/>
        <color indexed="8"/>
        <rFont val="Arial"/>
        <family val="2"/>
      </rPr>
      <t xml:space="preserve">Sum of the grant budget </t>
    </r>
    <r>
      <rPr>
        <b/>
        <i/>
        <sz val="10"/>
        <color indexed="8"/>
        <rFont val="Arial"/>
        <family val="2"/>
      </rPr>
      <t>by Objective</t>
    </r>
    <r>
      <rPr>
        <sz val="10"/>
        <color indexed="8"/>
        <rFont val="Arial"/>
        <family val="2"/>
      </rPr>
      <t xml:space="preserve">, from period one of the current phase </t>
    </r>
    <r>
      <rPr>
        <b/>
        <i/>
        <sz val="10"/>
        <color indexed="8"/>
        <rFont val="Arial"/>
        <family val="2"/>
      </rPr>
      <t>up to and including</t>
    </r>
    <r>
      <rPr>
        <sz val="10"/>
        <color indexed="8"/>
        <rFont val="Arial"/>
        <family val="2"/>
      </rPr>
      <t xml:space="preserve"> the dashboard reporting period. </t>
    </r>
    <r>
      <rPr>
        <b/>
        <sz val="10"/>
        <color indexed="8"/>
        <rFont val="Arial"/>
        <family val="2"/>
      </rPr>
      <t xml:space="preserve">
Cumulative Expenditure per Objective:</t>
    </r>
    <r>
      <rPr>
        <sz val="10"/>
        <color indexed="8"/>
        <rFont val="Arial"/>
        <family val="2"/>
      </rPr>
      <t xml:space="preserve"> Sum of</t>
    </r>
    <r>
      <rPr>
        <b/>
        <sz val="10"/>
        <color indexed="8"/>
        <rFont val="Arial"/>
        <family val="2"/>
      </rPr>
      <t xml:space="preserve"> </t>
    </r>
    <r>
      <rPr>
        <sz val="10"/>
        <color indexed="8"/>
        <rFont val="Arial"/>
        <family val="2"/>
      </rPr>
      <t xml:space="preserve">amounts spent </t>
    </r>
    <r>
      <rPr>
        <b/>
        <i/>
        <sz val="10"/>
        <color indexed="8"/>
        <rFont val="Arial"/>
        <family val="2"/>
      </rPr>
      <t>by Objective</t>
    </r>
    <r>
      <rPr>
        <sz val="10"/>
        <color indexed="8"/>
        <rFont val="Arial"/>
        <family val="2"/>
      </rPr>
      <t xml:space="preserve"> directly by the PR plus the amounts transferred by the PR to all SRs from the beginning of the phase </t>
    </r>
    <r>
      <rPr>
        <b/>
        <i/>
        <sz val="10"/>
        <color indexed="8"/>
        <rFont val="Arial"/>
        <family val="2"/>
      </rPr>
      <t>up to and including</t>
    </r>
    <r>
      <rPr>
        <sz val="10"/>
        <color indexed="8"/>
        <rFont val="Arial"/>
        <family val="2"/>
      </rPr>
      <t xml:space="preserve"> dashboard reporting period, by Objective.</t>
    </r>
  </si>
  <si>
    <r>
      <t xml:space="preserve">Days taken to submit final PU/DR to LFA – </t>
    </r>
    <r>
      <rPr>
        <sz val="10"/>
        <color indexed="8"/>
        <rFont val="Arial"/>
        <family val="2"/>
      </rPr>
      <t xml:space="preserve">This indicator measures </t>
    </r>
    <r>
      <rPr>
        <b/>
        <sz val="10"/>
        <color indexed="8"/>
        <rFont val="Arial"/>
        <family val="2"/>
      </rPr>
      <t>t</t>
    </r>
    <r>
      <rPr>
        <sz val="10"/>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0"/>
        <color indexed="8"/>
        <rFont val="Arial"/>
        <family val="2"/>
      </rPr>
      <t xml:space="preserve">
Days taken for disbursement to reach PR – </t>
    </r>
    <r>
      <rPr>
        <sz val="10"/>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</si>
  <si>
    <t>Name</t>
  </si>
  <si>
    <t>Days taken to submit final PU/DR to LFA</t>
  </si>
  <si>
    <t>Information reporting period</t>
  </si>
  <si>
    <t>Enter the data based on the colour-coded cells</t>
  </si>
  <si>
    <t>% Cumulative</t>
  </si>
  <si>
    <t>Obligations cumulative</t>
  </si>
  <si>
    <t>Expenditures cumulative</t>
  </si>
  <si>
    <t xml:space="preserve">Comment: </t>
  </si>
  <si>
    <t>Comment:</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</si>
  <si>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</si>
  <si>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</si>
  <si>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</si>
  <si>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</si>
  <si>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</si>
  <si>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</si>
  <si>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</si>
  <si>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</si>
  <si>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</si>
  <si>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</si>
  <si>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</si>
  <si>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</si>
  <si>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</si>
  <si>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</si>
  <si>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</si>
  <si>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</si>
  <si>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</si>
  <si>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</si>
  <si>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</si>
  <si>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</si>
  <si>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</si>
  <si>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</si>
  <si>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</si>
  <si>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</si>
  <si>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</si>
  <si>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</si>
  <si>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</si>
  <si>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</si>
  <si>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</si>
  <si>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</si>
  <si>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</si>
  <si>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</si>
  <si>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</si>
  <si>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</si>
  <si>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</si>
  <si>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</si>
  <si>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</si>
  <si>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</si>
  <si>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</si>
  <si>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</si>
  <si>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</si>
  <si>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</si>
  <si>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</si>
  <si>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</si>
  <si>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</si>
  <si>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</si>
  <si>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</si>
  <si>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</si>
  <si>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</si>
  <si>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</si>
  <si>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</si>
  <si>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</si>
  <si>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</si>
  <si>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</si>
  <si>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</si>
  <si>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</si>
  <si>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</si>
  <si>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</si>
  <si>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</si>
  <si>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</si>
  <si>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</si>
  <si>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</si>
  <si>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</si>
  <si>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</si>
  <si>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</si>
  <si>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</si>
  <si>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</si>
  <si>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</si>
  <si>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</si>
  <si>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</si>
  <si>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</si>
  <si>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</si>
  <si>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</si>
  <si>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</si>
  <si>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</si>
  <si>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</si>
  <si>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</si>
  <si>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</si>
  <si>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</si>
  <si>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</si>
  <si>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</si>
  <si>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</si>
  <si>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</si>
  <si>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</si>
  <si>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</si>
  <si>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</si>
  <si>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</si>
  <si>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</si>
  <si>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</si>
  <si>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</si>
  <si>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</si>
  <si>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</si>
  <si>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</si>
  <si>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</si>
  <si>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</si>
  <si>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</si>
  <si>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</si>
  <si>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</si>
  <si>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</si>
  <si>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</si>
  <si>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</si>
  <si>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</si>
  <si>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</si>
  <si>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</si>
  <si>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</si>
  <si>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</si>
  <si>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</si>
  <si>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</si>
  <si>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</si>
  <si>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</si>
  <si>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</si>
  <si>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</si>
  <si>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</si>
  <si>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</si>
  <si>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</si>
  <si>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</si>
  <si>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</si>
  <si>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</si>
  <si>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</si>
  <si>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</si>
  <si>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</si>
  <si>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</si>
  <si>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</si>
  <si>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</si>
  <si>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</si>
  <si>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</si>
  <si>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</si>
  <si>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</si>
  <si>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</si>
  <si>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</si>
  <si>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</si>
  <si>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</si>
  <si>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</si>
  <si>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</si>
  <si>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</si>
  <si>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</si>
  <si>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</si>
  <si>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</si>
  <si>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</si>
  <si>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</si>
  <si>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</si>
  <si>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</si>
  <si>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</si>
  <si>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</si>
  <si>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</si>
  <si>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</si>
  <si>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</si>
  <si>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</si>
  <si>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</si>
  <si>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</si>
  <si>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</si>
  <si>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</si>
  <si>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</si>
  <si>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</si>
  <si>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</si>
  <si>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</si>
  <si>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</si>
  <si>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</si>
  <si>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</si>
  <si>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</si>
  <si>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</si>
  <si>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</si>
  <si>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</si>
  <si>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</si>
  <si>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</si>
  <si>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</si>
  <si>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</si>
  <si>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</si>
  <si>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</si>
  <si>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</si>
  <si>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</si>
  <si>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</si>
  <si>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</si>
  <si>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</si>
  <si>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</si>
  <si>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</si>
  <si>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</si>
  <si>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</si>
  <si>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</si>
  <si>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</si>
  <si>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</si>
  <si>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</si>
  <si>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</si>
  <si>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</si>
  <si>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</si>
  <si>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</si>
  <si>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</si>
  <si>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</si>
  <si>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</si>
  <si>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</si>
  <si>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</si>
  <si>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</si>
  <si>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</si>
  <si>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</si>
  <si>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</si>
  <si>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</si>
  <si>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</si>
  <si>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</si>
  <si>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</si>
  <si>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</si>
  <si>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</si>
  <si>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</si>
  <si>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</si>
  <si>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</si>
  <si>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</si>
  <si>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</si>
  <si>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</si>
  <si>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</si>
  <si>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</si>
  <si>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</si>
  <si>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</si>
  <si>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</si>
  <si>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</si>
  <si>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</si>
  <si>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</si>
  <si>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</si>
  <si>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</si>
  <si>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</si>
  <si>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</si>
  <si>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</si>
  <si>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</si>
  <si>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</si>
  <si>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</si>
  <si>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</si>
  <si>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</si>
  <si>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</si>
  <si>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</si>
  <si>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</si>
  <si>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</si>
  <si>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</si>
  <si>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</si>
  <si>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</si>
  <si>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</si>
  <si>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</si>
  <si>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</si>
  <si>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</si>
  <si>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</si>
  <si>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</si>
  <si>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</si>
  <si>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</si>
  <si>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</si>
  <si>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</si>
  <si>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</si>
  <si>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</si>
  <si>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</si>
  <si>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</si>
  <si>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</si>
  <si>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</si>
  <si>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</si>
  <si>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</si>
  <si>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</si>
  <si>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</si>
  <si>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</si>
  <si>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</si>
  <si>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</si>
  <si>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</si>
  <si>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</si>
  <si>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</si>
  <si>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</si>
  <si>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</si>
  <si>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</si>
  <si>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</si>
  <si>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</si>
  <si>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</si>
  <si>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</si>
  <si>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</si>
  <si>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</si>
  <si>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</si>
  <si>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</si>
  <si>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</si>
  <si>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</si>
  <si>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</si>
  <si>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</si>
  <si>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</si>
  <si>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t>Financial information</t>
  </si>
  <si>
    <t>Management Information</t>
  </si>
  <si>
    <t>Performance Framework</t>
  </si>
  <si>
    <t>Period</t>
  </si>
  <si>
    <t>P12</t>
  </si>
  <si>
    <t>Pending</t>
  </si>
  <si>
    <t>Fund Portfolio Manager:</t>
  </si>
  <si>
    <t>Identified</t>
  </si>
  <si>
    <t>Person Responsible</t>
  </si>
  <si>
    <t>LFA</t>
  </si>
  <si>
    <t xml:space="preserve">Date </t>
  </si>
  <si>
    <t>Not fulfilled, but within deadline</t>
  </si>
  <si>
    <t>Programmatic Indicators (from Performance Framework)</t>
  </si>
  <si>
    <t>Indicator Number: Name (Perf Framework No.)</t>
  </si>
  <si>
    <t>Isoniazid</t>
  </si>
  <si>
    <t>Ethambutol</t>
  </si>
  <si>
    <t>Rifampicin</t>
  </si>
  <si>
    <t>Pyrazimamide</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</si>
  <si>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</si>
  <si>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</si>
  <si>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</si>
  <si>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</si>
  <si>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</si>
  <si>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</si>
  <si>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</si>
  <si>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</si>
  <si>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Expenditures</t>
  </si>
  <si>
    <t>TB nutri'l supplements</t>
  </si>
  <si>
    <t>Recommendations</t>
  </si>
  <si>
    <t>Set-up = List of validation for Grant Detail page</t>
  </si>
  <si>
    <t>Action Taken</t>
  </si>
  <si>
    <t>Phase:</t>
  </si>
  <si>
    <t>Round:</t>
  </si>
  <si>
    <t>From:</t>
  </si>
  <si>
    <t>Date of entry  of information:</t>
  </si>
  <si>
    <t xml:space="preserve">     Enter finance data in every orange cell like this.</t>
  </si>
  <si>
    <t>Code</t>
  </si>
  <si>
    <t>Grant No.</t>
  </si>
  <si>
    <t>Difference between current stock and safety stock</t>
  </si>
  <si>
    <t>Months of safety stock</t>
  </si>
  <si>
    <t>0% - 59%</t>
  </si>
  <si>
    <t>60% - 89%</t>
  </si>
  <si>
    <t>Actions to Implement / Previous Period</t>
  </si>
  <si>
    <t xml:space="preserve">(7)
Level of safety stock
(expressed in months and defined by country) </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</si>
  <si>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</si>
  <si>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</si>
  <si>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</si>
  <si>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</si>
  <si>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</si>
  <si>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</si>
  <si>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</si>
  <si>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</si>
  <si>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</si>
  <si>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</si>
  <si>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</si>
  <si>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</si>
  <si>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</si>
  <si>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</si>
  <si>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</si>
  <si>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</si>
  <si>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</si>
  <si>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</si>
  <si>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</si>
  <si>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</si>
  <si>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</si>
  <si>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</si>
  <si>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</si>
  <si>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</si>
  <si>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</si>
  <si>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</si>
  <si>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</si>
  <si>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</si>
  <si>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</si>
  <si>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F1: Budget and disbursements by Global Fund</t>
  </si>
  <si>
    <t>F4: Latest PR reporting and disbursement cycle</t>
  </si>
  <si>
    <t>M1: Status of Conditions Precedent (CPs) and Time Bound Actions (TBAs)</t>
  </si>
  <si>
    <t>M2: Status of key PR management positions</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</si>
  <si>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</si>
  <si>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</si>
  <si>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</si>
  <si>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</si>
  <si>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</si>
  <si>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</si>
  <si>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</si>
  <si>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</si>
  <si>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</si>
  <si>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t>PR banking or accounting information; TGF disbursment notification; PU/DR; GF website</t>
  </si>
  <si>
    <t>Programmatic indicators  (Performance Framework )</t>
  </si>
  <si>
    <t xml:space="preserve">Financial Information: </t>
  </si>
  <si>
    <t xml:space="preserve">Management Information: </t>
  </si>
  <si>
    <t xml:space="preserve">Programmatic Information: </t>
  </si>
  <si>
    <t>Start Date (dd/Mmm/yy):</t>
  </si>
  <si>
    <t>* Includes only EFR category 4 and 5  (Health products and health equipment &amp; Medicines and Pharmaceuticals)</t>
  </si>
  <si>
    <t>Table is automatically updated. No data or information is to be entered here.</t>
  </si>
  <si>
    <t>V1.0</t>
  </si>
  <si>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</si>
  <si>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What is the status of actions on previous decisions?</t>
  </si>
  <si>
    <r>
      <t xml:space="preserve">Cumulative budget: </t>
    </r>
    <r>
      <rPr>
        <sz val="10"/>
        <color indexed="8"/>
        <rFont val="Arial"/>
        <family val="2"/>
      </rPr>
      <t xml:space="preserve">Sum of the grant budget from period one (quarter, trimester, or semester) of the current phase, </t>
    </r>
    <r>
      <rPr>
        <b/>
        <i/>
        <sz val="10"/>
        <color indexed="8"/>
        <rFont val="Arial"/>
        <family val="2"/>
      </rPr>
      <t>up to and including</t>
    </r>
    <r>
      <rPr>
        <sz val="10"/>
        <color indexed="8"/>
        <rFont val="Arial"/>
        <family val="2"/>
      </rPr>
      <t xml:space="preserve"> the dashboard reporting period.</t>
    </r>
    <r>
      <rPr>
        <b/>
        <sz val="10"/>
        <color indexed="8"/>
        <rFont val="Arial"/>
        <family val="2"/>
      </rPr>
      <t xml:space="preserve">
Cumulative Disbursments by GF:</t>
    </r>
    <r>
      <rPr>
        <sz val="10"/>
        <color indexed="8"/>
        <rFont val="Arial"/>
        <family val="2"/>
      </rPr>
      <t xml:space="preserve"> Sum of all the funds transferred by the GF to either the PR or paid directly to suppliers (e.g. drugs, equipment, bed nets), </t>
    </r>
    <r>
      <rPr>
        <b/>
        <i/>
        <sz val="10"/>
        <color indexed="8"/>
        <rFont val="Arial"/>
        <family val="2"/>
      </rPr>
      <t>up to and including</t>
    </r>
    <r>
      <rPr>
        <b/>
        <sz val="10"/>
        <color indexed="8"/>
        <rFont val="Arial"/>
        <family val="2"/>
      </rPr>
      <t xml:space="preserve"> </t>
    </r>
    <r>
      <rPr>
        <sz val="10"/>
        <color indexed="8"/>
        <rFont val="Arial"/>
        <family val="2"/>
      </rPr>
      <t>the dasboard reporting period.</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</si>
  <si>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0"/>
        <color indexed="8"/>
        <rFont val="Arial"/>
        <family val="2"/>
      </rPr>
      <t>but not including</t>
    </r>
    <r>
      <rPr>
        <sz val="10"/>
        <color indexed="8"/>
        <rFont val="Arial"/>
        <family val="2"/>
      </rPr>
      <t xml:space="preserve"> the current period.</t>
    </r>
  </si>
  <si>
    <r>
      <t xml:space="preserve">Number of calendar days; it refers only to reporting period for which the latest disbursement was received and is </t>
    </r>
    <r>
      <rPr>
        <b/>
        <sz val="10"/>
        <color indexed="8"/>
        <rFont val="Arial"/>
        <family val="2"/>
      </rPr>
      <t>not cumulative</t>
    </r>
  </si>
  <si>
    <r>
      <t xml:space="preserve">Number of Conditions Precedent (CPs) and Time Bound Actions (TBAs ) fulfilled, or unfulfilled. 
</t>
    </r>
    <r>
      <rPr>
        <sz val="10"/>
        <color indexed="8"/>
        <rFont val="Arial"/>
        <family val="2"/>
      </rPr>
      <t>Within the Unfulfilled category, we distinguish between those CPs and TBAs whose deadline has not passed and those for which the deadline has passed.</t>
    </r>
  </si>
  <si>
    <r>
      <t>Number of PR grant management positions planned currently filled or vacant.</t>
    </r>
    <r>
      <rPr>
        <sz val="10"/>
        <color indexed="8"/>
        <rFont val="Arial"/>
        <family val="2"/>
      </rPr>
      <t xml:space="preserve"> Full time equivalents of the </t>
    </r>
    <r>
      <rPr>
        <b/>
        <sz val="10"/>
        <color indexed="8"/>
        <rFont val="Arial"/>
        <family val="2"/>
      </rPr>
      <t xml:space="preserve">managerial </t>
    </r>
    <r>
      <rPr>
        <sz val="10"/>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</si>
  <si>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r>
      <t xml:space="preserve">
</t>
    </r>
    <r>
      <rPr>
        <b/>
        <sz val="10"/>
        <color indexed="8"/>
        <rFont val="Arial"/>
        <family val="2"/>
      </rPr>
      <t xml:space="preserve">Identified: </t>
    </r>
    <r>
      <rPr>
        <sz val="10"/>
        <color indexed="8"/>
        <rFont val="Arial"/>
        <family val="2"/>
      </rPr>
      <t xml:space="preserve">Total number of potential SRs identified by the PR for the phase. </t>
    </r>
    <r>
      <rPr>
        <b/>
        <sz val="10"/>
        <color indexed="8"/>
        <rFont val="Arial"/>
        <family val="2"/>
      </rPr>
      <t xml:space="preserve">Assessed: </t>
    </r>
    <r>
      <rPr>
        <sz val="10"/>
        <color indexed="8"/>
        <rFont val="Arial"/>
        <family val="2"/>
      </rPr>
      <t xml:space="preserve">Total number of potential SRs assessed by the PR to determine whether they qualify to function as SRs for the grant. </t>
    </r>
    <r>
      <rPr>
        <b/>
        <sz val="10"/>
        <color indexed="8"/>
        <rFont val="Arial"/>
        <family val="2"/>
      </rPr>
      <t>Approved:</t>
    </r>
    <r>
      <rPr>
        <sz val="10"/>
        <color indexed="8"/>
        <rFont val="Arial"/>
        <family val="2"/>
      </rPr>
      <t xml:space="preserve"> Total number of SRs that have been approved</t>
    </r>
    <r>
      <rPr>
        <b/>
        <sz val="10"/>
        <color indexed="8"/>
        <rFont val="Arial"/>
        <family val="2"/>
      </rPr>
      <t xml:space="preserve">. Signed: </t>
    </r>
    <r>
      <rPr>
        <sz val="10"/>
        <color indexed="8"/>
        <rFont val="Arial"/>
        <family val="2"/>
      </rPr>
      <t xml:space="preserve">Total number of SRs that have signed agreements/contracts with the PR under the grant. </t>
    </r>
    <r>
      <rPr>
        <b/>
        <sz val="10"/>
        <color indexed="8"/>
        <rFont val="Arial"/>
        <family val="2"/>
      </rPr>
      <t xml:space="preserve">Receiving funding: </t>
    </r>
    <r>
      <rPr>
        <sz val="10"/>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0"/>
        <color indexed="8"/>
        <rFont val="Arial"/>
        <family val="2"/>
      </rPr>
      <t>not</t>
    </r>
    <r>
      <rPr>
        <sz val="10"/>
        <color indexed="8"/>
        <rFont val="Arial"/>
        <family val="2"/>
      </rPr>
      <t xml:space="preserve"> working in the current Phase, that SR is no longer counted in Identified, Assessed, Approved.</t>
    </r>
  </si>
  <si>
    <r>
      <t xml:space="preserve">Number of reports received. The figure reflects only the period of reporting; it is </t>
    </r>
    <r>
      <rPr>
        <b/>
        <i/>
        <sz val="10"/>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</si>
  <si>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0"/>
        <color indexed="8"/>
        <rFont val="Arial"/>
        <family val="2"/>
      </rPr>
      <t xml:space="preserve">approved: </t>
    </r>
    <r>
      <rPr>
        <sz val="10"/>
        <color indexed="8"/>
        <rFont val="Arial"/>
        <family val="2"/>
      </rPr>
      <t xml:space="preserve">Total approved budget for purchases (categories 4 and 5) </t>
    </r>
    <r>
      <rPr>
        <b/>
        <i/>
        <sz val="10"/>
        <color indexed="8"/>
        <rFont val="Arial"/>
        <family val="2"/>
      </rPr>
      <t>for the entire phase</t>
    </r>
    <r>
      <rPr>
        <i/>
        <sz val="10"/>
        <color indexed="8"/>
        <rFont val="Arial"/>
        <family val="2"/>
      </rPr>
      <t xml:space="preserve"> </t>
    </r>
    <r>
      <rPr>
        <sz val="10"/>
        <color indexed="8"/>
        <rFont val="Arial"/>
        <family val="2"/>
      </rPr>
      <t xml:space="preserve">of the grant. It does not include the amounts for fees, management, operational costs, etc.
</t>
    </r>
    <r>
      <rPr>
        <b/>
        <sz val="10"/>
        <color indexed="8"/>
        <rFont val="Arial"/>
        <family val="2"/>
      </rPr>
      <t>Cumulative Obligations:</t>
    </r>
    <r>
      <rPr>
        <sz val="10"/>
        <color indexed="8"/>
        <rFont val="Arial"/>
        <family val="2"/>
      </rPr>
      <t xml:space="preserve"> Total of all order(s) placed and monies committed for these purchases by the PR </t>
    </r>
    <r>
      <rPr>
        <b/>
        <i/>
        <sz val="10"/>
        <color indexed="8"/>
        <rFont val="Arial"/>
        <family val="2"/>
      </rPr>
      <t xml:space="preserve">up to and including </t>
    </r>
    <r>
      <rPr>
        <sz val="10"/>
        <color indexed="8"/>
        <rFont val="Arial"/>
        <family val="2"/>
      </rPr>
      <t xml:space="preserve">the dashboard reporting period. Ideally, by the end of the Phase, budget should equal obligations.
</t>
    </r>
    <r>
      <rPr>
        <b/>
        <sz val="10"/>
        <color indexed="8"/>
        <rFont val="Arial"/>
        <family val="2"/>
      </rPr>
      <t>Cumulative expenditure:</t>
    </r>
    <r>
      <rPr>
        <sz val="10"/>
        <color indexed="8"/>
        <rFont val="Arial"/>
        <family val="2"/>
      </rPr>
      <t xml:space="preserve"> Total of actual Expenditures on category 4 and 5 </t>
    </r>
    <r>
      <rPr>
        <b/>
        <i/>
        <sz val="10"/>
        <color indexed="8"/>
        <rFont val="Arial"/>
        <family val="2"/>
      </rPr>
      <t>up to and including</t>
    </r>
    <r>
      <rPr>
        <sz val="10"/>
        <color indexed="8"/>
        <rFont val="Arial"/>
        <family val="2"/>
      </rPr>
      <t xml:space="preserve"> the dashboard reporting period (whether paid by PR or authorized to be paid by another entity like GF or other).</t>
    </r>
  </si>
  <si>
    <r>
      <t xml:space="preserve">Note: </t>
    </r>
    <r>
      <rPr>
        <sz val="10"/>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</si>
  <si>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</si>
  <si>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Data Entry</t>
  </si>
  <si>
    <t>Days from receipt of accepted PU/DR by LFA</t>
  </si>
  <si>
    <r>
      <t>Average</t>
    </r>
    <r>
      <rPr>
        <sz val="11"/>
        <color theme="1"/>
        <rFont val="Calibri"/>
        <family val="2"/>
        <scheme val="minor"/>
      </rPr>
      <t xml:space="preserve"> days from receipt by PR to receipt by SRs </t>
    </r>
  </si>
  <si>
    <t>(5) 
Current stock in central warehouse (that does not expire within the next 3 months)</t>
  </si>
  <si>
    <t>(8)  =  (6) - (7)
Difference between current stock and safety stock</t>
  </si>
  <si>
    <t>M4: Number of complete reports received on time, this reporting period</t>
  </si>
  <si>
    <t>PR</t>
  </si>
  <si>
    <t>Notes that don't fit into dashboard cells.  This list can be updated each period.</t>
  </si>
  <si>
    <t>Comment Date</t>
  </si>
  <si>
    <t>Rptg Period</t>
  </si>
  <si>
    <t>Author</t>
  </si>
  <si>
    <t>PR or CCM</t>
  </si>
  <si>
    <t>Indic #</t>
  </si>
  <si>
    <t>Comment</t>
  </si>
  <si>
    <t>&lt;CCM Generic Dashboard_EN_fixed.xls&gt;   [received 26jan'10]</t>
  </si>
  <si>
    <t>This dashboard was customised from GF's January 2010 generic file,</t>
  </si>
  <si>
    <t>≥ 90%</t>
  </si>
  <si>
    <t>The indicators should be selected from the Performance Framework 
by the PRs and members of the CCM or the CCM Technical Committee.</t>
  </si>
  <si>
    <t>Condoms</t>
  </si>
  <si>
    <t>HIV test kits</t>
  </si>
  <si>
    <t>HIV confirmation kits</t>
  </si>
  <si>
    <t>Notes/Calc</t>
  </si>
  <si>
    <t>Conditions Precedent (CPs)</t>
  </si>
  <si>
    <t>MoH</t>
  </si>
  <si>
    <t>Accelerating Access -- Home-Based Care &amp; Indoor Residual Spraying</t>
  </si>
  <si>
    <t>(1)
Number of tablets per patient per day
(Review country treatment guidelines)</t>
  </si>
  <si>
    <t>(2)  =  (1) x 30
Monthly treatment 
(Tablets per patient x 30 days)</t>
  </si>
  <si>
    <t>(3)
Total patients in treatment</t>
  </si>
  <si>
    <t>(4)  =  (2) x (3)
Total # tab/pills required for all patients per month</t>
  </si>
  <si>
    <t>(6) =  (5) / (4)
Stock level expressed in months of treatment for all current patients</t>
  </si>
  <si>
    <t>YES</t>
  </si>
  <si>
    <t>F2: Budget and actual expenditures by category</t>
  </si>
  <si>
    <t>Category</t>
  </si>
  <si>
    <r>
      <t xml:space="preserve">Days from end of </t>
    </r>
    <r>
      <rPr>
        <u/>
        <sz val="11"/>
        <color indexed="8"/>
        <rFont val="Calibri"/>
        <family val="2"/>
      </rPr>
      <t>previous</t>
    </r>
    <r>
      <rPr>
        <sz val="11"/>
        <color theme="1"/>
        <rFont val="Calibri"/>
        <family val="2"/>
        <scheme val="minor"/>
      </rPr>
      <t xml:space="preserve"> reporting period until </t>
    </r>
    <r>
      <rPr>
        <b/>
        <u/>
        <sz val="11"/>
        <color indexed="12"/>
        <rFont val="Calibri"/>
        <family val="2"/>
      </rPr>
      <t>accepted</t>
    </r>
    <r>
      <rPr>
        <sz val="11"/>
        <color theme="1"/>
        <rFont val="Calibri"/>
        <family val="2"/>
        <scheme val="minor"/>
      </rPr>
      <t xml:space="preserve"> PU/DR was sent to LFA</t>
    </r>
  </si>
  <si>
    <t xml:space="preserve">as of </t>
  </si>
  <si>
    <t>which ends</t>
  </si>
  <si>
    <t>notes</t>
  </si>
  <si>
    <t>Check for any changes in SR status</t>
  </si>
  <si>
    <t>Malaria</t>
  </si>
  <si>
    <t xml:space="preserve">     Notes</t>
  </si>
  <si>
    <t>Pr1 - trend</t>
  </si>
  <si>
    <t>Pr2 - trend</t>
  </si>
  <si>
    <t>Pr3 - trend</t>
  </si>
  <si>
    <t>Pr1</t>
  </si>
  <si>
    <t>Pr2</t>
  </si>
  <si>
    <t>Pr3</t>
  </si>
  <si>
    <t>Pr4</t>
  </si>
  <si>
    <t>Pr5</t>
  </si>
  <si>
    <t>Pr6</t>
  </si>
  <si>
    <t>Pr7</t>
  </si>
  <si>
    <t>Pr8</t>
  </si>
  <si>
    <t>Pr9</t>
  </si>
  <si>
    <t>Pr10</t>
  </si>
  <si>
    <t>Pr1. No. and percentage of structures in targeted districts sprayed by indoor residual spraying in the last 12 months</t>
  </si>
  <si>
    <t>Pr2. No. of district implementing IRS</t>
  </si>
  <si>
    <t>1.1</t>
  </si>
  <si>
    <t>Pr6. No. of districts with no stockout of insecticide prior to spraying</t>
  </si>
  <si>
    <t>AGAMAL LTD</t>
  </si>
  <si>
    <t>This represents the number of middle level officers recruited to support the management of the IRS programme at the district level and zonal levels.</t>
  </si>
  <si>
    <t>Pr4.  No. of staff recruited at national, zonal and district level for the IRS management</t>
  </si>
  <si>
    <t>Pr3. No. of sentinel sites established and functioning</t>
  </si>
  <si>
    <t>Pr5. No. of people trained on IRS</t>
  </si>
  <si>
    <t xml:space="preserve">Daily spray cards, as summarized in the program data base Spray operator is the original source of information. </t>
  </si>
  <si>
    <t xml:space="preserve">F= # sprayable structures found
S= # sprayable structures sprayed
IRS Coverage (c) = S/F* 100
</t>
  </si>
  <si>
    <t xml:space="preserve">Number and percentage of structures (rooms/dwellings)  in targeted districts sprayed by indoor residual spraying. These are structures (rooms/dwellings) sprayed in the course of the spray season. </t>
  </si>
  <si>
    <t xml:space="preserve">Absolute count of number of districts currently benefiting from the IRS spraying exercise </t>
  </si>
  <si>
    <t>The number of districts within the IRS scale-up plan where the IRS activity has started, and have received at least a round of spraying within the implementation period</t>
  </si>
  <si>
    <t>Three (3) health facilities within each of the implementing districts is identified, resourced and trained to serve as a sentinel facility within each of the districts for health facility case monitoring (test positivity). Once the facility is resourced in terms of provision of buffer RDTs and case reporting has commenced, it is considered as established and functioning</t>
  </si>
  <si>
    <t>Facilty is identified, resourced (provision of buffer RDTs), representatives are trained and case data is received from the facility</t>
  </si>
  <si>
    <t>Passive case surveillance forms filled and completed at the health facility level</t>
  </si>
  <si>
    <t>Implementation records prepared by program manager</t>
  </si>
  <si>
    <t>Training records and reports prepared by HR manager, and Implementation records prepared by programme manager</t>
  </si>
  <si>
    <t>Number of programme officers recruited and served with appointment letters</t>
  </si>
  <si>
    <t>This represents the number of spray operators recruited and trainined to conduct the field spraying of structures within the implementing districts</t>
  </si>
  <si>
    <t xml:space="preserve">Training records and reports prepared by HR manager, and Implementation records prepared by programme manager  </t>
  </si>
  <si>
    <t xml:space="preserve">Number of spray operators recruited and served with appointment letters  </t>
  </si>
  <si>
    <t>Storekeeper’s Weekly Report. Original data are entered and reported by Storekeepers, who submit weekly reports to the Logistics Manager. The Logistics Manager prepares a summary Insecticide Inventory Report each week.</t>
  </si>
  <si>
    <t>SF = number of storage facilities 
SIS = actual count of sachets remaining in stock
SR/X = number of reports received for week X</t>
  </si>
  <si>
    <t>Number of districts with no stock out of insecticide prior to spraying. Storekeeper’s Report all variable each week on the Storekeeper’s Weekly Report, for an individual storage facility.</t>
  </si>
  <si>
    <r>
      <t xml:space="preserve">Definition  (from M&amp;E Plan, </t>
    </r>
    <r>
      <rPr>
        <b/>
        <sz val="10"/>
        <color indexed="8"/>
        <rFont val="Calibri"/>
        <family val="2"/>
      </rPr>
      <t>Approved on 28 August, 2012</t>
    </r>
    <r>
      <rPr>
        <b/>
        <sz val="10"/>
        <color indexed="8"/>
        <rFont val="Calibri"/>
        <family val="2"/>
      </rPr>
      <t>)</t>
    </r>
  </si>
  <si>
    <t>March 30, 2013</t>
  </si>
  <si>
    <t>Frank Amoyaw</t>
  </si>
  <si>
    <t xml:space="preserve">PR  </t>
  </si>
  <si>
    <t>At the end of week 7 - March 30, the expected number of structures to be sprayed was 491,772 against a cumulative sprayed structures of 172,355 - representing 12.27 of the end of season target (Jan-June, 2013). Refer to Attached Performance tracker.
Please note that PR reports per semester basis, and this representation is intended to offer CCM management information on current performance as at the end of P7</t>
  </si>
  <si>
    <t xml:space="preserve">A total of 376 spray operators, 52 team leaders were engaged. Cumulative figure thus becomes 1137 </t>
  </si>
  <si>
    <t>September 10, 2013</t>
  </si>
  <si>
    <t>Some districts did not have the full complement of spray operators due to issues with medical surveillance results and some isolated cases of vacation of post. This led to the shortfall in the total number of persons trained.</t>
  </si>
  <si>
    <t>The minimum number of structures targeted for the period was 1,194,305 (85%) out of a total of 1,405,065 structures as stated in the PF for the period:
The inability to reach the minimum set target for the period resulted from significant delays in the insecticide clearing process at the port leading to stock-outs and hence lost operational time. This tremendously affected the weekly expected spray coverage and the consequent reduction in total coverage for the period.</t>
  </si>
  <si>
    <t xml:space="preserve">Although there were no stockouts prior to the start of  spraying, we encountered stockouts in the course of the spraying season. </t>
  </si>
  <si>
    <t>Apr - Jun 2015</t>
  </si>
  <si>
    <t>Jul - Sept 2015</t>
  </si>
  <si>
    <t>Oct - Dec 2015</t>
  </si>
  <si>
    <t>Jan - Mar 2016</t>
  </si>
  <si>
    <t>Apr - Jun 2016</t>
  </si>
  <si>
    <t>Jul - Sept 2016</t>
  </si>
  <si>
    <t>Oct - Dec 2016</t>
  </si>
  <si>
    <t xml:space="preserve">PR expenditure </t>
  </si>
  <si>
    <t>-</t>
  </si>
  <si>
    <t>l8</t>
  </si>
  <si>
    <t>All key management positions have been duly filled.</t>
  </si>
  <si>
    <t>AngloGold Asanti (Ghana) Malaria Ltd</t>
  </si>
  <si>
    <t>Cumulative Budget Approved*</t>
  </si>
  <si>
    <t>Mark Saalfeld</t>
  </si>
  <si>
    <t>GHA-M-AGAMAL</t>
  </si>
  <si>
    <t>Funding:</t>
  </si>
  <si>
    <t>New Funding Model</t>
  </si>
  <si>
    <t>1</t>
  </si>
  <si>
    <t>During the period under review, AGAMAL received $6.7m as disbursement from the Global Fund against a total expenditure of  $6.9m mainly due to $5.1m payments made for insecticides received prior to reporting period.The excess of expenditure over disbursement received was funded by closing cash balance from previous period.</t>
  </si>
  <si>
    <t>All 5 condition precedents as of reporting period have been met.</t>
  </si>
  <si>
    <t>Jan - Mar 2017</t>
  </si>
  <si>
    <t>Apr - Jun 2017</t>
  </si>
  <si>
    <t>Jul - Sept 2017</t>
  </si>
  <si>
    <t>Oct - Dec 2017</t>
  </si>
  <si>
    <t>Human Resources</t>
  </si>
  <si>
    <t>Travel related costs</t>
  </si>
  <si>
    <t>External Professional services</t>
  </si>
  <si>
    <t>Health Products - Non Pharmaceuticals</t>
  </si>
  <si>
    <t>Health Products - Equipment</t>
  </si>
  <si>
    <t>Procurement and Supply-Chain Management costs</t>
  </si>
  <si>
    <t>Infrastructure</t>
  </si>
  <si>
    <t>Non-health equipment</t>
  </si>
  <si>
    <t>Communication Material and Publications</t>
  </si>
  <si>
    <t>Programme Administration costs</t>
  </si>
  <si>
    <t xml:space="preserve">Generally, there is a positive variance in all the cost categories except Health Products &amp; Equipment. The negative variance on Health Products &amp; Equipment is as a result of insecticides procured and paid for which includes quantities meant to be used for 2016 operations rolled over from previous period. </t>
  </si>
  <si>
    <t xml:space="preserve">During the period under review, AGAMAL received $6.7m disbursement from the Global Fund which covers the budget for 2015 operations.
</t>
  </si>
  <si>
    <t>Jan-Mar 2015</t>
  </si>
  <si>
    <t>Out of a budget of $60,212.00  $5,120,477.00 was spent on health products and equipment. The deficit is as a result of a roll over cost prior to 2014. Its associated budget in 2013 was not fully utilised because of delays in procuring them due to Global Fund's request for Quality Assurance Testing.</t>
  </si>
  <si>
    <t>Proportion of households in targeted areas that received Indoor Residual Spraying during the reporting period</t>
  </si>
  <si>
    <t>Percentage of population in targeted areas sprayed with IRS in the last 12 months</t>
  </si>
  <si>
    <t>The household figure is as a result of the target population covered for the period not having been reached since the household figures are calculated are based on these.</t>
  </si>
  <si>
    <t>The population covered for the period under review was generated from the population living within the sprayed structures during the last spray season and this was 771,553. Households that refused to have their houses sprayed/ or were not present at the time of spray were not recorded.</t>
  </si>
  <si>
    <t>The intended target for the period was 871,071 out of 967,857. The denominator is the derived figure for 2015 based a geometric calculation from the 2010 population and housing census. The actual population covered was 771,553.</t>
  </si>
  <si>
    <t>The target household figure to be reached was 141,960 and this is also a geometric calculated figure based on the 2010 pupolationa dn housing census figure. These was worked out using district specific household figure for the two operational areas.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</si>
</sst>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8" formatCode="&quot;$&quot;#,##0.00_);[Red]\(&quot;$&quot;#,##0.00\)"/>
    <numFmt numFmtId="43" formatCode="_(* #,##0.00_);_(* \(#,##0.00\);_(* &quot;-&quot;??_);_(@_)"/>
    <numFmt numFmtId="164" formatCode="&quot;Q&quot;#,##0_);[Red]\(&quot;Q&quot;#,##0\)"/>
    <numFmt numFmtId="165" formatCode="_(&quot;Q&quot;* #,##0.00_);_(&quot;Q&quot;* \(#,##0.00\);_(&quot;Q&quot;* &quot;-&quot;??_);_(@_)"/>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quot;$&quot;#,##0"/>
    <numFmt numFmtId="175" formatCode="[$$-409]#,##0.00"/>
  </numFmts>
  <fonts count="139">
    <font>
      <sz val="11"/>
      <color theme="1"/>
      <name val="Calibri"/>
      <family val="2"/>
      <scheme val="minor"/>
    </font>
    <font>
      <sz val="11"/>
      <color indexed="8"/>
      <name val="Calibri"/>
      <family val="2"/>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1"/>
      <color indexed="8"/>
      <name val="Arial"/>
      <family val="2"/>
    </font>
    <font>
      <b/>
      <sz val="16"/>
      <color indexed="8"/>
      <name val="Calibri"/>
      <family val="2"/>
    </font>
    <font>
      <b/>
      <sz val="11"/>
      <color indexed="16"/>
      <name val="Calibri"/>
      <family val="2"/>
    </font>
    <font>
      <b/>
      <sz val="14"/>
      <color indexed="52"/>
      <name val="Calibri"/>
      <family val="2"/>
    </font>
    <font>
      <sz val="11"/>
      <color indexed="8"/>
      <name val="Calibri"/>
      <family val="2"/>
    </font>
    <font>
      <b/>
      <sz val="10"/>
      <color indexed="53"/>
      <name val="Calibri"/>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i/>
      <sz val="11"/>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b/>
      <i/>
      <sz val="10"/>
      <color indexed="8"/>
      <name val="Arial"/>
      <family val="2"/>
    </font>
    <font>
      <i/>
      <sz val="10"/>
      <color indexed="8"/>
      <name val="Arial"/>
      <family val="2"/>
    </font>
    <font>
      <sz val="10"/>
      <color indexed="10"/>
      <name val="Arial"/>
      <family val="2"/>
    </font>
    <font>
      <b/>
      <sz val="10"/>
      <color indexed="14"/>
      <name val="Calibri"/>
      <family val="2"/>
    </font>
    <font>
      <b/>
      <i/>
      <sz val="16"/>
      <color indexed="12"/>
      <name val="Calibri"/>
      <family val="2"/>
    </font>
    <font>
      <b/>
      <i/>
      <sz val="14"/>
      <color indexed="12"/>
      <name val="Calibri"/>
      <family val="2"/>
    </font>
    <font>
      <u/>
      <sz val="11"/>
      <color indexed="8"/>
      <name val="Calibri"/>
      <family val="2"/>
    </font>
    <font>
      <b/>
      <i/>
      <sz val="11"/>
      <color indexed="48"/>
      <name val="Calibri"/>
      <family val="2"/>
    </font>
    <font>
      <sz val="11"/>
      <color indexed="8"/>
      <name val="Calibri"/>
      <family val="2"/>
    </font>
    <font>
      <b/>
      <u/>
      <sz val="11"/>
      <color indexed="12"/>
      <name val="Calibri"/>
      <family val="2"/>
    </font>
    <font>
      <sz val="10"/>
      <color indexed="9"/>
      <name val="Calibri"/>
      <family val="2"/>
    </font>
    <font>
      <sz val="9"/>
      <color indexed="8"/>
      <name val="Calibri"/>
      <family val="2"/>
    </font>
    <font>
      <i/>
      <sz val="11"/>
      <color indexed="48"/>
      <name val="Calibri"/>
      <family val="2"/>
    </font>
    <font>
      <b/>
      <i/>
      <sz val="11"/>
      <color indexed="14"/>
      <name val="Calibri"/>
      <family val="2"/>
    </font>
    <font>
      <sz val="11"/>
      <color theme="1"/>
      <name val="Calibri"/>
      <family val="2"/>
      <scheme val="minor"/>
    </font>
    <font>
      <u/>
      <sz val="11"/>
      <color theme="10"/>
      <name val="Calibri"/>
      <family val="2"/>
      <scheme val="minor"/>
    </font>
    <font>
      <u/>
      <sz val="11"/>
      <color theme="11"/>
      <name val="Calibri"/>
      <family val="2"/>
      <scheme val="minor"/>
    </font>
    <font>
      <sz val="11"/>
      <name val="Calibri"/>
      <family val="2"/>
      <scheme val="minor"/>
    </font>
    <font>
      <u/>
      <sz val="10"/>
      <color indexed="12"/>
      <name val="Arial"/>
      <family val="2"/>
    </font>
  </fonts>
  <fills count="4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45"/>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gray0625">
        <fgColor indexed="52"/>
        <bgColor indexed="43"/>
      </patternFill>
    </fill>
    <fill>
      <patternFill patternType="gray0625">
        <fgColor indexed="51"/>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43"/>
        <bgColor indexed="64"/>
      </patternFill>
    </fill>
    <fill>
      <patternFill patternType="solid">
        <fgColor indexed="61"/>
        <bgColor indexed="64"/>
      </patternFill>
    </fill>
    <fill>
      <patternFill patternType="lightTrellis">
        <fgColor indexed="9"/>
        <bgColor indexed="43"/>
      </patternFill>
    </fill>
    <fill>
      <patternFill patternType="solid">
        <fgColor indexed="18"/>
        <bgColor indexed="64"/>
      </patternFill>
    </fill>
    <fill>
      <patternFill patternType="solid">
        <fgColor indexed="62"/>
        <bgColor indexed="64"/>
      </patternFill>
    </fill>
    <fill>
      <patternFill patternType="gray0625">
        <fgColor indexed="51"/>
        <bgColor indexed="43"/>
      </patternFill>
    </fill>
    <fill>
      <patternFill patternType="solid">
        <fgColor indexed="14"/>
        <bgColor indexed="64"/>
      </patternFill>
    </fill>
    <fill>
      <patternFill patternType="solid">
        <fgColor indexed="57"/>
        <bgColor indexed="64"/>
      </patternFill>
    </fill>
    <fill>
      <patternFill patternType="solid">
        <fgColor indexed="13"/>
        <bgColor indexed="64"/>
      </patternFill>
    </fill>
    <fill>
      <patternFill patternType="mediumGray">
        <fgColor indexed="9"/>
        <bgColor indexed="43"/>
      </patternFill>
    </fill>
    <fill>
      <patternFill patternType="mediumGray">
        <fgColor indexed="9"/>
        <bgColor indexed="44"/>
      </patternFill>
    </fill>
    <fill>
      <patternFill patternType="mediumGray">
        <fgColor indexed="9"/>
        <bgColor indexed="47"/>
      </patternFill>
    </fill>
    <fill>
      <patternFill patternType="solid">
        <fgColor theme="0" tint="-0.14999847407452621"/>
        <bgColor indexed="64"/>
      </patternFill>
    </fill>
  </fills>
  <borders count="2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thick">
        <color indexed="9"/>
      </right>
      <top/>
      <bottom/>
      <diagonal/>
    </border>
    <border>
      <left style="hair">
        <color auto="1"/>
      </left>
      <right style="hair">
        <color auto="1"/>
      </right>
      <top/>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indexed="51"/>
      </right>
      <top style="thin">
        <color auto="1"/>
      </top>
      <bottom style="thin">
        <color auto="1"/>
      </bottom>
      <diagonal/>
    </border>
    <border>
      <left style="thin">
        <color auto="1"/>
      </left>
      <right style="thin">
        <color auto="1"/>
      </right>
      <top style="thin">
        <color auto="1"/>
      </top>
      <bottom style="medium">
        <color indexed="5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thin">
        <color indexed="30"/>
      </top>
      <bottom style="thin">
        <color indexed="30"/>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thin">
        <color auto="1"/>
      </right>
      <top style="thin">
        <color auto="1"/>
      </top>
      <bottom style="medium">
        <color indexed="60"/>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16"/>
      </left>
      <right style="thin">
        <color indexed="16"/>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51"/>
      </left>
      <right style="thin">
        <color auto="1"/>
      </right>
      <top style="thin">
        <color auto="1"/>
      </top>
      <bottom style="thin">
        <color auto="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indexed="51"/>
      </left>
      <right style="medium">
        <color indexed="5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right style="thin">
        <color auto="1"/>
      </right>
      <top style="thin">
        <color auto="1"/>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thin">
        <color auto="1"/>
      </right>
      <top/>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style="medium">
        <color indexed="57"/>
      </left>
      <right style="hair">
        <color indexed="57"/>
      </right>
      <top style="medium">
        <color indexed="57"/>
      </top>
      <bottom style="medium">
        <color indexed="57"/>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bottom style="hair">
        <color auto="1"/>
      </bottom>
      <diagonal/>
    </border>
    <border>
      <left style="hair">
        <color indexed="57"/>
      </left>
      <right style="medium">
        <color indexed="57"/>
      </right>
      <top style="medium">
        <color indexed="57"/>
      </top>
      <bottom style="medium">
        <color indexed="57"/>
      </bottom>
      <diagonal/>
    </border>
    <border>
      <left style="hair">
        <color auto="1"/>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s>
  <cellStyleXfs count="12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10"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0" borderId="0" applyNumberFormat="0" applyBorder="0" applyAlignment="0" applyProtection="0"/>
    <xf numFmtId="0" fontId="16" fillId="15" borderId="0" applyNumberFormat="0" applyBorder="0" applyAlignment="0" applyProtection="0"/>
    <xf numFmtId="0" fontId="6" fillId="16" borderId="0" applyNumberFormat="0" applyBorder="0" applyAlignment="0" applyProtection="0"/>
    <xf numFmtId="0" fontId="10" fillId="2" borderId="1" applyNumberFormat="0" applyAlignment="0" applyProtection="0"/>
    <xf numFmtId="0" fontId="12" fillId="17" borderId="2" applyNumberFormat="0" applyAlignment="0" applyProtection="0"/>
    <xf numFmtId="43" fontId="4" fillId="0" borderId="0" applyFont="0" applyFill="0" applyBorder="0" applyAlignment="0" applyProtection="0"/>
    <xf numFmtId="165" fontId="4" fillId="0" borderId="0" applyFont="0" applyFill="0" applyBorder="0" applyAlignment="0" applyProtection="0"/>
    <xf numFmtId="170" fontId="3" fillId="0" borderId="0" applyFont="0" applyFill="0" applyBorder="0" applyAlignment="0" applyProtection="0"/>
    <xf numFmtId="0" fontId="14" fillId="0" borderId="0" applyNumberFormat="0" applyFill="0" applyBorder="0" applyAlignment="0" applyProtection="0"/>
    <xf numFmtId="0" fontId="5" fillId="18" borderId="0" applyNumberFormat="0" applyBorder="0" applyAlignment="0" applyProtection="0"/>
    <xf numFmtId="0" fontId="75" fillId="0" borderId="3" applyNumberFormat="0" applyFill="0" applyAlignment="0" applyProtection="0"/>
    <xf numFmtId="0" fontId="76"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8" fillId="3" borderId="1" applyNumberFormat="0" applyAlignment="0" applyProtection="0"/>
    <xf numFmtId="0" fontId="11" fillId="0" borderId="6" applyNumberFormat="0" applyFill="0" applyAlignment="0" applyProtection="0"/>
    <xf numFmtId="43" fontId="3" fillId="0" borderId="0" applyFill="0" applyBorder="0" applyAlignment="0" applyProtection="0"/>
    <xf numFmtId="43" fontId="1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 fillId="0" borderId="0"/>
    <xf numFmtId="43" fontId="2" fillId="0" borderId="0"/>
    <xf numFmtId="43" fontId="134" fillId="0" borderId="0"/>
    <xf numFmtId="43" fontId="134" fillId="0" borderId="0"/>
    <xf numFmtId="43" fontId="134" fillId="0" borderId="0"/>
    <xf numFmtId="43" fontId="134" fillId="0" borderId="0"/>
    <xf numFmtId="0" fontId="68" fillId="0" borderId="0"/>
    <xf numFmtId="0" fontId="3" fillId="4" borderId="7" applyNumberFormat="0" applyFont="0" applyAlignment="0" applyProtection="0"/>
    <xf numFmtId="0" fontId="9" fillId="2" borderId="8" applyNumberFormat="0" applyAlignment="0" applyProtection="0"/>
    <xf numFmtId="9" fontId="4" fillId="0" borderId="0" applyFont="0" applyFill="0" applyBorder="0" applyAlignment="0" applyProtection="0"/>
    <xf numFmtId="0" fontId="43" fillId="0" borderId="0" applyNumberFormat="0" applyFill="0" applyBorder="0" applyAlignment="0" applyProtection="0"/>
    <xf numFmtId="43" fontId="134" fillId="0" borderId="9" applyNumberFormat="0" applyFill="0" applyAlignment="0" applyProtection="0"/>
    <xf numFmtId="43" fontId="2" fillId="0" borderId="9" applyNumberFormat="0" applyFill="0" applyAlignment="0" applyProtection="0"/>
    <xf numFmtId="43" fontId="2" fillId="0" borderId="9" applyNumberFormat="0" applyFill="0" applyAlignment="0" applyProtection="0"/>
    <xf numFmtId="43" fontId="134" fillId="0" borderId="9" applyNumberFormat="0" applyFill="0" applyAlignment="0" applyProtection="0"/>
    <xf numFmtId="0" fontId="77" fillId="0" borderId="0" applyNumberFormat="0" applyFill="0" applyBorder="0" applyAlignment="0" applyProtection="0"/>
    <xf numFmtId="0" fontId="135" fillId="0" borderId="0" applyNumberFormat="0" applyFill="0" applyBorder="0" applyAlignment="0" applyProtection="0"/>
    <xf numFmtId="0" fontId="136" fillId="0" borderId="0" applyNumberFormat="0" applyFill="0" applyBorder="0" applyAlignment="0" applyProtection="0"/>
    <xf numFmtId="0" fontId="135" fillId="0" borderId="0" applyNumberFormat="0" applyFill="0" applyBorder="0" applyAlignment="0" applyProtection="0"/>
    <xf numFmtId="0" fontId="136" fillId="0" borderId="0" applyNumberFormat="0" applyFill="0" applyBorder="0" applyAlignment="0" applyProtection="0"/>
    <xf numFmtId="43" fontId="134"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10"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0" borderId="0" applyNumberFormat="0" applyBorder="0" applyAlignment="0" applyProtection="0"/>
    <xf numFmtId="0" fontId="16" fillId="15" borderId="0" applyNumberFormat="0" applyBorder="0" applyAlignment="0" applyProtection="0"/>
    <xf numFmtId="0" fontId="6" fillId="16" borderId="0" applyNumberFormat="0" applyBorder="0" applyAlignment="0" applyProtection="0"/>
    <xf numFmtId="0" fontId="10" fillId="2" borderId="1" applyNumberFormat="0" applyAlignment="0" applyProtection="0"/>
    <xf numFmtId="0" fontId="12" fillId="17" borderId="2" applyNumberFormat="0" applyAlignment="0" applyProtection="0"/>
    <xf numFmtId="43" fontId="1" fillId="0" borderId="0" applyFont="0" applyFill="0" applyBorder="0" applyAlignment="0" applyProtection="0"/>
    <xf numFmtId="165" fontId="1" fillId="0" borderId="0" applyFont="0" applyFill="0" applyBorder="0" applyAlignment="0" applyProtection="0"/>
    <xf numFmtId="0" fontId="14" fillId="0" borderId="0" applyNumberFormat="0" applyFill="0" applyBorder="0" applyAlignment="0" applyProtection="0"/>
    <xf numFmtId="0" fontId="5" fillId="18" borderId="0" applyNumberFormat="0" applyBorder="0" applyAlignment="0" applyProtection="0"/>
    <xf numFmtId="0" fontId="75" fillId="0" borderId="3" applyNumberFormat="0" applyFill="0" applyAlignment="0" applyProtection="0"/>
    <xf numFmtId="0" fontId="76"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8" fillId="3" borderId="1" applyNumberFormat="0" applyAlignment="0" applyProtection="0"/>
    <xf numFmtId="0" fontId="11" fillId="0" borderId="6" applyNumberFormat="0" applyFill="0" applyAlignment="0" applyProtection="0"/>
    <xf numFmtId="0" fontId="3" fillId="4" borderId="7" applyNumberFormat="0" applyFont="0" applyAlignment="0" applyProtection="0"/>
    <xf numFmtId="0" fontId="9" fillId="2" borderId="8" applyNumberFormat="0" applyAlignment="0" applyProtection="0"/>
    <xf numFmtId="9" fontId="1" fillId="0" borderId="0" applyFont="0" applyFill="0" applyBorder="0" applyAlignment="0" applyProtection="0"/>
    <xf numFmtId="0" fontId="43" fillId="0" borderId="0" applyNumberFormat="0" applyFill="0" applyBorder="0" applyAlignment="0" applyProtection="0"/>
    <xf numFmtId="0" fontId="77" fillId="0" borderId="0" applyNumberFormat="0" applyFill="0" applyBorder="0" applyAlignment="0" applyProtection="0"/>
    <xf numFmtId="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4" fillId="0" borderId="0" applyFont="0" applyFill="0" applyBorder="0" applyAlignment="0" applyProtection="0"/>
    <xf numFmtId="175" fontId="3" fillId="0" borderId="0" applyFont="0" applyFill="0" applyBorder="0" applyAlignment="0" applyProtection="0"/>
    <xf numFmtId="43" fontId="134" fillId="0" borderId="0" applyFont="0" applyFill="0" applyBorder="0" applyAlignment="0" applyProtection="0"/>
    <xf numFmtId="0" fontId="3" fillId="0" borderId="0"/>
    <xf numFmtId="0" fontId="134" fillId="0" borderId="0"/>
    <xf numFmtId="0" fontId="134" fillId="0" borderId="0"/>
    <xf numFmtId="0" fontId="134" fillId="0" borderId="0"/>
    <xf numFmtId="0" fontId="134" fillId="0" borderId="0"/>
    <xf numFmtId="9" fontId="3" fillId="0" borderId="0" applyFont="0" applyFill="0" applyBorder="0" applyAlignment="0" applyProtection="0"/>
    <xf numFmtId="9" fontId="134" fillId="0" borderId="0" applyFont="0" applyFill="0" applyBorder="0" applyAlignment="0" applyProtection="0"/>
    <xf numFmtId="0" fontId="138" fillId="0" borderId="0" applyNumberFormat="0" applyFill="0" applyBorder="0" applyAlignment="0" applyProtection="0">
      <alignment vertical="top"/>
      <protection locked="0"/>
    </xf>
    <xf numFmtId="43" fontId="134" fillId="0" borderId="0" applyFont="0" applyFill="0" applyBorder="0" applyAlignment="0" applyProtection="0"/>
    <xf numFmtId="43" fontId="134" fillId="0" borderId="0" applyFont="0" applyFill="0" applyBorder="0" applyAlignment="0" applyProtection="0"/>
  </cellStyleXfs>
  <cellXfs count="924">
    <xf numFmtId="0" fontId="0" fillId="0" borderId="0" xfId="0"/>
    <xf numFmtId="43" fontId="17" fillId="0" borderId="0" xfId="40" applyFont="1" applyFill="1" applyAlignment="1">
      <alignment vertical="center"/>
    </xf>
    <xf numFmtId="0" fontId="0" fillId="0" borderId="0" xfId="0" applyBorder="1" applyProtection="1"/>
    <xf numFmtId="0" fontId="0" fillId="0" borderId="0" xfId="0" applyProtection="1"/>
    <xf numFmtId="43" fontId="23" fillId="0" borderId="0" xfId="40" applyFont="1" applyFill="1" applyAlignment="1" applyProtection="1">
      <alignment vertical="center"/>
    </xf>
    <xf numFmtId="0" fontId="22" fillId="0" borderId="0" xfId="0" applyFont="1" applyProtection="1"/>
    <xf numFmtId="43" fontId="20" fillId="0" borderId="0" xfId="51" applyFont="1" applyFill="1" applyAlignment="1" applyProtection="1"/>
    <xf numFmtId="43" fontId="20" fillId="0" borderId="0" xfId="51" applyFont="1" applyFill="1" applyAlignment="1" applyProtection="1">
      <alignment horizontal="center"/>
    </xf>
    <xf numFmtId="43" fontId="20" fillId="0" borderId="0" xfId="51" applyFont="1" applyFill="1" applyAlignment="1" applyProtection="1">
      <alignment horizontal="right"/>
    </xf>
    <xf numFmtId="43" fontId="20" fillId="0" borderId="0" xfId="51" applyFont="1" applyFill="1" applyBorder="1" applyAlignment="1" applyProtection="1">
      <alignment horizontal="center"/>
    </xf>
    <xf numFmtId="43" fontId="134" fillId="0" borderId="0" xfId="50" applyProtection="1"/>
    <xf numFmtId="43" fontId="16" fillId="0" borderId="0" xfId="50" applyFont="1" applyProtection="1"/>
    <xf numFmtId="0" fontId="19" fillId="0" borderId="0" xfId="50" applyNumberFormat="1" applyFont="1" applyBorder="1" applyProtection="1"/>
    <xf numFmtId="43" fontId="134" fillId="0" borderId="0" xfId="52" applyProtection="1"/>
    <xf numFmtId="43" fontId="134" fillId="0" borderId="0" xfId="52" applyFill="1" applyBorder="1" applyAlignment="1" applyProtection="1">
      <alignment horizontal="left"/>
    </xf>
    <xf numFmtId="0" fontId="0" fillId="0" borderId="0" xfId="0" applyFill="1" applyBorder="1" applyProtection="1"/>
    <xf numFmtId="43" fontId="134" fillId="0" borderId="0" xfId="52" applyFill="1" applyBorder="1" applyProtection="1"/>
    <xf numFmtId="0" fontId="16" fillId="0" borderId="0" xfId="0" applyFont="1" applyProtection="1"/>
    <xf numFmtId="43" fontId="16" fillId="0" borderId="0" xfId="52" applyFont="1" applyProtection="1"/>
    <xf numFmtId="0" fontId="0" fillId="0" borderId="0" xfId="0" applyBorder="1"/>
    <xf numFmtId="0" fontId="0" fillId="0" borderId="0" xfId="0" applyFill="1" applyBorder="1"/>
    <xf numFmtId="0" fontId="35" fillId="0" borderId="0" xfId="0" applyFont="1"/>
    <xf numFmtId="15" fontId="30" fillId="0" borderId="0" xfId="0" applyNumberFormat="1" applyFont="1" applyFill="1" applyBorder="1" applyAlignment="1" applyProtection="1">
      <alignment horizontal="center" vertical="center" wrapText="1"/>
      <protection locked="0"/>
    </xf>
    <xf numFmtId="43" fontId="29" fillId="0" borderId="0" xfId="0" applyNumberFormat="1" applyFont="1"/>
    <xf numFmtId="43" fontId="29" fillId="0" borderId="0" xfId="0" applyNumberFormat="1" applyFont="1" applyAlignment="1">
      <alignment horizontal="right"/>
    </xf>
    <xf numFmtId="166" fontId="29" fillId="0" borderId="0" xfId="28" applyNumberFormat="1" applyFont="1" applyAlignment="1">
      <alignment horizontal="left"/>
    </xf>
    <xf numFmtId="43" fontId="17" fillId="0" borderId="0" xfId="49" applyFont="1" applyFill="1" applyAlignment="1">
      <alignment vertical="center"/>
    </xf>
    <xf numFmtId="0" fontId="0" fillId="0" borderId="10" xfId="0" applyBorder="1" applyAlignment="1">
      <alignment horizontal="center"/>
    </xf>
    <xf numFmtId="0" fontId="15" fillId="0" borderId="0" xfId="0" applyFont="1" applyBorder="1" applyAlignment="1">
      <alignment horizontal="center"/>
    </xf>
    <xf numFmtId="0" fontId="2" fillId="0" borderId="0" xfId="0" applyFont="1" applyBorder="1" applyAlignment="1"/>
    <xf numFmtId="0" fontId="2" fillId="0" borderId="0" xfId="0" applyFont="1" applyFill="1" applyBorder="1" applyAlignment="1"/>
    <xf numFmtId="0" fontId="44" fillId="0" borderId="0" xfId="0" applyFont="1"/>
    <xf numFmtId="0" fontId="44" fillId="0" borderId="0" xfId="0" applyFont="1" applyAlignment="1">
      <alignment horizontal="right"/>
    </xf>
    <xf numFmtId="0" fontId="44" fillId="0" borderId="0" xfId="0" applyFont="1" applyBorder="1"/>
    <xf numFmtId="0" fontId="47" fillId="0" borderId="0" xfId="0" applyFont="1"/>
    <xf numFmtId="0" fontId="44" fillId="0" borderId="0" xfId="0" applyNumberFormat="1" applyFont="1" applyBorder="1"/>
    <xf numFmtId="0" fontId="0" fillId="0" borderId="0" xfId="0" applyFill="1"/>
    <xf numFmtId="10" fontId="7" fillId="0" borderId="0" xfId="57" applyNumberFormat="1" applyFont="1" applyFill="1" applyBorder="1" applyAlignment="1">
      <alignment horizontal="center"/>
    </xf>
    <xf numFmtId="10" fontId="7" fillId="0" borderId="0" xfId="57" applyNumberFormat="1" applyFont="1" applyFill="1" applyBorder="1" applyAlignment="1" applyProtection="1">
      <alignment horizontal="center"/>
      <protection locked="0"/>
    </xf>
    <xf numFmtId="43" fontId="29" fillId="0" borderId="0" xfId="0" applyNumberFormat="1" applyFont="1" applyFill="1" applyBorder="1" applyAlignment="1"/>
    <xf numFmtId="43" fontId="134" fillId="0" borderId="0" xfId="62" applyFill="1" applyBorder="1" applyAlignment="1" applyProtection="1">
      <alignment vertical="center"/>
      <protection locked="0"/>
    </xf>
    <xf numFmtId="164" fontId="33" fillId="0" borderId="0" xfId="0" applyNumberFormat="1" applyFont="1" applyFill="1" applyBorder="1" applyAlignment="1">
      <alignment horizontal="center"/>
    </xf>
    <xf numFmtId="0" fontId="27" fillId="0" borderId="0" xfId="0" applyFont="1" applyFill="1" applyBorder="1" applyAlignment="1">
      <alignment horizontal="centerContinuous"/>
    </xf>
    <xf numFmtId="0" fontId="0" fillId="0" borderId="0" xfId="0" applyFill="1" applyBorder="1" applyAlignment="1">
      <alignment horizontal="centerContinuous"/>
    </xf>
    <xf numFmtId="43" fontId="40" fillId="0" borderId="0" xfId="62"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4" fillId="0" borderId="0" xfId="59" applyNumberFormat="1" applyFill="1" applyBorder="1" applyAlignment="1" applyProtection="1">
      <alignment horizontal="center"/>
      <protection locked="0"/>
    </xf>
    <xf numFmtId="0" fontId="16" fillId="0" borderId="0" xfId="0" applyFont="1" applyFill="1" applyBorder="1" applyAlignment="1" applyProtection="1">
      <alignment horizontal="center"/>
    </xf>
    <xf numFmtId="0" fontId="24" fillId="0" borderId="0" xfId="0" applyFont="1" applyFill="1" applyAlignment="1" applyProtection="1"/>
    <xf numFmtId="0" fontId="16" fillId="0" borderId="0" xfId="0" applyFont="1" applyAlignment="1" applyProtection="1">
      <alignment horizontal="left" indent="1"/>
    </xf>
    <xf numFmtId="0" fontId="19" fillId="0" borderId="0" xfId="0" applyFont="1" applyAlignment="1" applyProtection="1">
      <alignment horizontal="left" indent="1"/>
    </xf>
    <xf numFmtId="0" fontId="16" fillId="0" borderId="0" xfId="0" applyFont="1" applyFill="1" applyBorder="1" applyProtection="1"/>
    <xf numFmtId="43" fontId="70" fillId="0" borderId="0" xfId="50" applyFont="1" applyProtection="1"/>
    <xf numFmtId="43" fontId="70" fillId="0" borderId="0" xfId="52" applyFont="1" applyProtection="1"/>
    <xf numFmtId="0" fontId="70" fillId="0" borderId="10" xfId="0" applyFont="1" applyFill="1" applyBorder="1" applyAlignment="1" applyProtection="1">
      <alignment horizontal="center"/>
    </xf>
    <xf numFmtId="0" fontId="70" fillId="0" borderId="10" xfId="0" applyFont="1" applyFill="1" applyBorder="1" applyProtection="1"/>
    <xf numFmtId="43" fontId="70" fillId="0" borderId="10" xfId="52" applyFont="1" applyBorder="1" applyProtection="1"/>
    <xf numFmtId="0" fontId="71" fillId="0" borderId="10" xfId="0" applyFont="1" applyBorder="1" applyAlignment="1" applyProtection="1">
      <alignment horizontal="left" indent="1"/>
    </xf>
    <xf numFmtId="0" fontId="72" fillId="0" borderId="10" xfId="0" applyFont="1" applyBorder="1"/>
    <xf numFmtId="0" fontId="73" fillId="19" borderId="10" xfId="0" applyFont="1" applyFill="1" applyBorder="1" applyAlignment="1" applyProtection="1">
      <alignment horizontal="center"/>
    </xf>
    <xf numFmtId="0" fontId="73" fillId="19" borderId="10" xfId="0" applyFont="1" applyFill="1" applyBorder="1" applyAlignment="1">
      <alignment horizontal="center"/>
    </xf>
    <xf numFmtId="0" fontId="22" fillId="0" borderId="0" xfId="0" applyFont="1"/>
    <xf numFmtId="3" fontId="16" fillId="20" borderId="11" xfId="0" applyNumberFormat="1" applyFont="1" applyFill="1" applyBorder="1" applyAlignment="1">
      <alignment horizontal="right"/>
    </xf>
    <xf numFmtId="3" fontId="16" fillId="20" borderId="11" xfId="28" applyNumberFormat="1" applyFont="1" applyFill="1" applyBorder="1"/>
    <xf numFmtId="9" fontId="16" fillId="20" borderId="11" xfId="57" applyFont="1" applyFill="1" applyBorder="1"/>
    <xf numFmtId="9" fontId="16" fillId="20" borderId="11" xfId="57" applyNumberFormat="1" applyFont="1" applyFill="1" applyBorder="1"/>
    <xf numFmtId="0" fontId="16" fillId="20" borderId="11" xfId="0" applyFont="1" applyFill="1" applyBorder="1"/>
    <xf numFmtId="9" fontId="16" fillId="20" borderId="11" xfId="57" applyFont="1" applyFill="1" applyBorder="1" applyAlignment="1">
      <alignment horizontal="center"/>
    </xf>
    <xf numFmtId="0" fontId="16" fillId="0" borderId="0" xfId="0" applyFont="1"/>
    <xf numFmtId="0" fontId="34" fillId="0" borderId="0" xfId="0" applyFont="1" applyAlignment="1">
      <alignment horizontal="center"/>
    </xf>
    <xf numFmtId="43" fontId="62" fillId="0" borderId="0" xfId="49" applyFont="1" applyFill="1" applyAlignment="1">
      <alignment vertical="center"/>
    </xf>
    <xf numFmtId="0" fontId="15" fillId="0" borderId="0" xfId="0" applyFont="1"/>
    <xf numFmtId="0" fontId="47" fillId="0" borderId="0" xfId="0" applyFont="1" applyFill="1"/>
    <xf numFmtId="0" fontId="80" fillId="19" borderId="12" xfId="0" applyFont="1" applyFill="1" applyBorder="1" applyAlignment="1">
      <alignment vertical="center"/>
    </xf>
    <xf numFmtId="0" fontId="78" fillId="0" borderId="0" xfId="54" applyNumberFormat="1" applyFont="1" applyFill="1" applyBorder="1" applyAlignment="1">
      <alignment horizontal="center" vertical="center" wrapText="1"/>
    </xf>
    <xf numFmtId="0" fontId="78" fillId="21" borderId="13" xfId="54"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2" fillId="0" borderId="0" xfId="0" applyNumberFormat="1" applyFont="1" applyFill="1" applyBorder="1" applyAlignment="1">
      <alignment horizontal="center"/>
    </xf>
    <xf numFmtId="1" fontId="83" fillId="20" borderId="0" xfId="0" applyNumberFormat="1" applyFont="1" applyFill="1" applyBorder="1" applyAlignment="1">
      <alignment horizontal="center"/>
    </xf>
    <xf numFmtId="0" fontId="83" fillId="0" borderId="0" xfId="0" applyFont="1" applyFill="1" applyBorder="1" applyAlignment="1" applyProtection="1">
      <alignment horizontal="left"/>
    </xf>
    <xf numFmtId="0" fontId="84" fillId="0" borderId="0" xfId="0" applyFont="1"/>
    <xf numFmtId="43" fontId="40" fillId="0" borderId="0" xfId="62"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2" fillId="0" borderId="14" xfId="62" applyFont="1" applyBorder="1" applyAlignment="1" applyProtection="1"/>
    <xf numFmtId="43" fontId="134" fillId="0" borderId="14" xfId="62" applyFill="1" applyBorder="1" applyAlignment="1" applyProtection="1">
      <alignment vertical="center"/>
    </xf>
    <xf numFmtId="43" fontId="4" fillId="0" borderId="14" xfId="62" applyFont="1" applyFill="1" applyBorder="1" applyAlignment="1" applyProtection="1">
      <alignment vertical="center"/>
    </xf>
    <xf numFmtId="43" fontId="32" fillId="0" borderId="0" xfId="62" applyFont="1" applyBorder="1" applyAlignment="1" applyProtection="1"/>
    <xf numFmtId="43" fontId="134" fillId="0" borderId="0" xfId="62" applyFill="1" applyBorder="1" applyAlignment="1" applyProtection="1">
      <alignment vertical="center"/>
    </xf>
    <xf numFmtId="43" fontId="4" fillId="0" borderId="0" xfId="62" applyFont="1" applyFill="1" applyBorder="1" applyAlignment="1" applyProtection="1">
      <alignment vertical="center"/>
    </xf>
    <xf numFmtId="0" fontId="33" fillId="0" borderId="15" xfId="0" applyFont="1" applyBorder="1" applyAlignment="1" applyProtection="1">
      <alignment horizontal="center"/>
    </xf>
    <xf numFmtId="15" fontId="33" fillId="0" borderId="16" xfId="0" applyNumberFormat="1" applyFont="1" applyBorder="1" applyAlignment="1" applyProtection="1">
      <alignment horizontal="center"/>
    </xf>
    <xf numFmtId="0" fontId="33" fillId="0" borderId="17" xfId="0" applyFont="1" applyBorder="1" applyAlignment="1" applyProtection="1">
      <alignment horizontal="center"/>
    </xf>
    <xf numFmtId="166" fontId="16" fillId="0" borderId="0" xfId="0" applyNumberFormat="1" applyFont="1" applyFill="1" applyBorder="1" applyAlignment="1" applyProtection="1"/>
    <xf numFmtId="10" fontId="7" fillId="0" borderId="0" xfId="57" applyNumberFormat="1" applyFont="1" applyFill="1" applyBorder="1" applyAlignment="1" applyProtection="1">
      <alignment horizontal="center"/>
    </xf>
    <xf numFmtId="0" fontId="7" fillId="0" borderId="0" xfId="0" applyFont="1" applyFill="1" applyBorder="1" applyAlignment="1" applyProtection="1"/>
    <xf numFmtId="0" fontId="27" fillId="0" borderId="0" xfId="0" applyFont="1" applyFill="1" applyBorder="1" applyAlignment="1" applyProtection="1">
      <alignment horizontal="centerContinuous" wrapText="1"/>
    </xf>
    <xf numFmtId="0" fontId="27"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7" fillId="0" borderId="18" xfId="0" applyNumberFormat="1" applyFont="1" applyFill="1" applyBorder="1" applyAlignment="1" applyProtection="1"/>
    <xf numFmtId="0" fontId="27" fillId="0" borderId="18" xfId="0" applyFont="1" applyFill="1" applyBorder="1" applyProtection="1"/>
    <xf numFmtId="0" fontId="27" fillId="0" borderId="19" xfId="0" applyFont="1" applyFill="1" applyBorder="1" applyProtection="1"/>
    <xf numFmtId="43" fontId="39" fillId="0" borderId="20" xfId="62" applyFont="1" applyBorder="1" applyAlignment="1" applyProtection="1"/>
    <xf numFmtId="43" fontId="40" fillId="0" borderId="20" xfId="62" applyFont="1" applyFill="1" applyBorder="1" applyAlignment="1" applyProtection="1">
      <alignment vertical="center"/>
    </xf>
    <xf numFmtId="43" fontId="40" fillId="0" borderId="20" xfId="62" applyFont="1" applyFill="1" applyBorder="1" applyAlignment="1" applyProtection="1">
      <alignment horizontal="center" vertical="center"/>
    </xf>
    <xf numFmtId="43" fontId="40" fillId="0" borderId="0" xfId="62" applyFont="1" applyFill="1" applyBorder="1" applyAlignment="1" applyProtection="1">
      <alignment vertical="center"/>
    </xf>
    <xf numFmtId="43" fontId="39" fillId="0" borderId="0" xfId="62" applyFont="1" applyBorder="1" applyAlignment="1" applyProtection="1"/>
    <xf numFmtId="43" fontId="41" fillId="0" borderId="0" xfId="62" applyFont="1" applyFill="1" applyBorder="1" applyAlignment="1" applyProtection="1">
      <alignment vertical="center"/>
    </xf>
    <xf numFmtId="0" fontId="15" fillId="0" borderId="0" xfId="0" applyFont="1" applyBorder="1" applyAlignment="1" applyProtection="1">
      <alignment horizontal="center"/>
    </xf>
    <xf numFmtId="0" fontId="0" fillId="0" borderId="21" xfId="0" applyBorder="1" applyAlignment="1" applyProtection="1">
      <alignment horizontal="center"/>
    </xf>
    <xf numFmtId="0" fontId="15" fillId="0" borderId="21" xfId="0" applyFont="1" applyBorder="1" applyAlignment="1" applyProtection="1">
      <alignment horizontal="center"/>
    </xf>
    <xf numFmtId="0" fontId="15" fillId="0" borderId="21" xfId="0" applyFont="1" applyBorder="1" applyAlignment="1" applyProtection="1">
      <alignment horizontal="center" wrapText="1"/>
    </xf>
    <xf numFmtId="0" fontId="15" fillId="0" borderId="22" xfId="0" applyFont="1" applyBorder="1" applyAlignment="1" applyProtection="1">
      <alignment horizontal="center"/>
    </xf>
    <xf numFmtId="0" fontId="15" fillId="0" borderId="23" xfId="0" applyFont="1" applyBorder="1" applyAlignment="1" applyProtection="1">
      <alignment horizontal="center"/>
    </xf>
    <xf numFmtId="1" fontId="22" fillId="20" borderId="24" xfId="0" applyNumberFormat="1" applyFont="1" applyFill="1" applyBorder="1" applyAlignment="1" applyProtection="1">
      <alignment horizontal="center"/>
    </xf>
    <xf numFmtId="0" fontId="15" fillId="0" borderId="25" xfId="0" applyFont="1" applyBorder="1" applyAlignment="1" applyProtection="1">
      <alignment horizontal="center"/>
    </xf>
    <xf numFmtId="1" fontId="22" fillId="20" borderId="26" xfId="0" applyNumberFormat="1" applyFont="1" applyFill="1" applyBorder="1" applyAlignment="1" applyProtection="1">
      <alignment horizontal="center"/>
    </xf>
    <xf numFmtId="0" fontId="0" fillId="0" borderId="27" xfId="0" applyBorder="1" applyProtection="1"/>
    <xf numFmtId="0" fontId="0" fillId="0" borderId="22" xfId="0" applyBorder="1" applyAlignment="1" applyProtection="1">
      <alignment horizontal="center"/>
    </xf>
    <xf numFmtId="0" fontId="0" fillId="0" borderId="25" xfId="0" applyBorder="1" applyAlignment="1" applyProtection="1">
      <alignment horizontal="center"/>
    </xf>
    <xf numFmtId="0" fontId="33" fillId="0" borderId="21" xfId="0" applyFont="1" applyBorder="1" applyAlignment="1" applyProtection="1">
      <alignment horizontal="center"/>
    </xf>
    <xf numFmtId="0" fontId="33" fillId="0" borderId="22" xfId="0" applyFont="1" applyBorder="1" applyAlignment="1" applyProtection="1">
      <alignment horizontal="center"/>
    </xf>
    <xf numFmtId="0" fontId="0" fillId="0" borderId="0" xfId="0" applyFill="1" applyBorder="1" applyAlignment="1" applyProtection="1">
      <alignment horizontal="center" wrapText="1"/>
    </xf>
    <xf numFmtId="43" fontId="95" fillId="0" borderId="0" xfId="28" applyFont="1" applyFill="1" applyBorder="1" applyProtection="1"/>
    <xf numFmtId="43" fontId="0" fillId="0" borderId="0" xfId="0" applyNumberFormat="1" applyFill="1" applyBorder="1" applyProtection="1"/>
    <xf numFmtId="43" fontId="69" fillId="0" borderId="28" xfId="62" applyFont="1" applyFill="1" applyBorder="1" applyAlignment="1" applyProtection="1"/>
    <xf numFmtId="43" fontId="40" fillId="0" borderId="28" xfId="62" applyFont="1" applyFill="1" applyBorder="1" applyAlignment="1" applyProtection="1">
      <alignment vertical="center"/>
    </xf>
    <xf numFmtId="0" fontId="68" fillId="0" borderId="29" xfId="0" applyFont="1" applyFill="1" applyBorder="1" applyProtection="1"/>
    <xf numFmtId="0" fontId="68" fillId="0" borderId="30" xfId="0" applyFont="1" applyFill="1" applyBorder="1" applyProtection="1"/>
    <xf numFmtId="43" fontId="29" fillId="0" borderId="0" xfId="0" applyNumberFormat="1" applyFont="1" applyAlignment="1" applyProtection="1">
      <alignment horizontal="right"/>
    </xf>
    <xf numFmtId="166" fontId="29" fillId="0" borderId="0" xfId="28" applyNumberFormat="1" applyFont="1" applyAlignment="1" applyProtection="1">
      <alignment horizontal="left"/>
    </xf>
    <xf numFmtId="15" fontId="29" fillId="0" borderId="0" xfId="0" applyNumberFormat="1" applyFont="1" applyAlignment="1" applyProtection="1">
      <alignment horizontal="left"/>
    </xf>
    <xf numFmtId="15" fontId="29" fillId="0" borderId="0" xfId="0" applyNumberFormat="1" applyFont="1" applyAlignment="1" applyProtection="1">
      <alignment horizontal="right"/>
    </xf>
    <xf numFmtId="43" fontId="29" fillId="0" borderId="0" xfId="0" applyNumberFormat="1" applyFont="1" applyProtection="1"/>
    <xf numFmtId="43" fontId="29" fillId="0" borderId="0" xfId="0" applyNumberFormat="1" applyFont="1" applyBorder="1" applyProtection="1"/>
    <xf numFmtId="43" fontId="29" fillId="0" borderId="0" xfId="0" applyNumberFormat="1" applyFont="1" applyBorder="1" applyAlignment="1" applyProtection="1">
      <alignment horizontal="right"/>
    </xf>
    <xf numFmtId="166" fontId="29" fillId="0" borderId="0" xfId="28" applyNumberFormat="1" applyFont="1" applyBorder="1" applyAlignment="1" applyProtection="1">
      <alignment horizontal="left"/>
    </xf>
    <xf numFmtId="0" fontId="20" fillId="0" borderId="0" xfId="0" applyFont="1" applyBorder="1" applyAlignment="1" applyProtection="1">
      <alignment horizontal="center"/>
    </xf>
    <xf numFmtId="0" fontId="20" fillId="0" borderId="0" xfId="0" applyFont="1" applyAlignment="1" applyProtection="1">
      <alignment horizontal="center"/>
    </xf>
    <xf numFmtId="0" fontId="35" fillId="0" borderId="0" xfId="0" applyFont="1" applyBorder="1" applyProtection="1"/>
    <xf numFmtId="0" fontId="35" fillId="0" borderId="10" xfId="0" applyFont="1" applyBorder="1" applyAlignment="1" applyProtection="1">
      <alignment horizontal="center" vertical="center" wrapText="1"/>
    </xf>
    <xf numFmtId="3" fontId="29" fillId="0" borderId="10" xfId="0" applyNumberFormat="1" applyFont="1" applyBorder="1" applyAlignment="1" applyProtection="1">
      <alignment vertical="center" wrapText="1"/>
    </xf>
    <xf numFmtId="15" fontId="27" fillId="0" borderId="0" xfId="0" applyNumberFormat="1" applyFont="1" applyFill="1" applyBorder="1" applyAlignment="1" applyProtection="1"/>
    <xf numFmtId="15" fontId="27" fillId="0" borderId="0" xfId="0" applyNumberFormat="1" applyFont="1" applyFill="1" applyBorder="1" applyAlignment="1" applyProtection="1">
      <alignment horizontal="center" wrapText="1"/>
    </xf>
    <xf numFmtId="0" fontId="27" fillId="0" borderId="0" xfId="0" applyFont="1" applyFill="1" applyBorder="1" applyProtection="1"/>
    <xf numFmtId="0" fontId="0" fillId="0" borderId="0" xfId="0" applyFill="1" applyBorder="1" applyAlignment="1" applyProtection="1">
      <alignment horizontal="center"/>
    </xf>
    <xf numFmtId="0" fontId="27" fillId="0" borderId="0" xfId="0" applyFont="1" applyFill="1" applyBorder="1" applyAlignment="1" applyProtection="1"/>
    <xf numFmtId="0" fontId="0" fillId="0" borderId="22" xfId="0" applyBorder="1" applyAlignment="1" applyProtection="1">
      <alignment horizontal="center" wrapText="1"/>
    </xf>
    <xf numFmtId="0" fontId="44" fillId="0" borderId="0" xfId="0" applyFont="1" applyProtection="1"/>
    <xf numFmtId="0" fontId="44" fillId="0" borderId="0" xfId="0" applyFont="1" applyAlignment="1" applyProtection="1">
      <alignment horizontal="right"/>
    </xf>
    <xf numFmtId="0" fontId="44" fillId="0" borderId="0" xfId="0" applyFont="1" applyBorder="1" applyProtection="1"/>
    <xf numFmtId="0" fontId="46" fillId="0" borderId="0" xfId="0" applyFont="1" applyBorder="1" applyAlignment="1" applyProtection="1">
      <alignment horizontal="left" vertical="center"/>
    </xf>
    <xf numFmtId="0" fontId="46" fillId="0" borderId="0" xfId="0" applyFont="1" applyBorder="1" applyAlignment="1" applyProtection="1">
      <alignment horizontal="left"/>
    </xf>
    <xf numFmtId="167" fontId="46" fillId="0" borderId="0" xfId="0" applyNumberFormat="1" applyFont="1" applyBorder="1" applyAlignment="1" applyProtection="1">
      <alignment horizontal="left"/>
    </xf>
    <xf numFmtId="0" fontId="47" fillId="0" borderId="0" xfId="0" applyFont="1" applyProtection="1"/>
    <xf numFmtId="0" fontId="48" fillId="0" borderId="0" xfId="0" applyFont="1" applyFill="1" applyBorder="1" applyProtection="1"/>
    <xf numFmtId="0" fontId="49" fillId="0" borderId="0" xfId="0" applyFont="1" applyFill="1" applyBorder="1" applyProtection="1"/>
    <xf numFmtId="0" fontId="51" fillId="0" borderId="0" xfId="0" applyFont="1" applyFill="1" applyBorder="1" applyAlignment="1" applyProtection="1">
      <alignment horizontal="right"/>
    </xf>
    <xf numFmtId="0" fontId="52" fillId="0" borderId="0" xfId="0" applyFont="1" applyFill="1" applyBorder="1" applyAlignment="1" applyProtection="1">
      <alignment horizontal="center"/>
    </xf>
    <xf numFmtId="0" fontId="35" fillId="0" borderId="0" xfId="0" applyFont="1" applyBorder="1" applyAlignment="1" applyProtection="1">
      <alignment horizontal="center" vertical="center"/>
    </xf>
    <xf numFmtId="0" fontId="53" fillId="20" borderId="0" xfId="0" applyFont="1" applyFill="1" applyBorder="1" applyAlignment="1" applyProtection="1">
      <alignment horizontal="left" vertical="center"/>
    </xf>
    <xf numFmtId="3" fontId="58" fillId="0" borderId="0" xfId="0" applyNumberFormat="1" applyFont="1" applyFill="1" applyBorder="1" applyAlignment="1" applyProtection="1">
      <alignment horizontal="right" vertical="center"/>
    </xf>
    <xf numFmtId="0" fontId="59" fillId="20" borderId="0" xfId="0" applyFont="1" applyFill="1" applyBorder="1" applyAlignment="1" applyProtection="1">
      <alignment horizontal="left" vertical="center"/>
    </xf>
    <xf numFmtId="169" fontId="53" fillId="20" borderId="0" xfId="0" applyNumberFormat="1" applyFont="1" applyFill="1" applyBorder="1" applyAlignment="1" applyProtection="1">
      <alignment vertical="center"/>
    </xf>
    <xf numFmtId="0" fontId="54" fillId="20" borderId="0" xfId="0" applyNumberFormat="1" applyFont="1" applyFill="1" applyBorder="1" applyAlignment="1" applyProtection="1">
      <alignment horizontal="right"/>
    </xf>
    <xf numFmtId="0" fontId="64" fillId="20" borderId="0" xfId="0" applyFont="1" applyFill="1" applyBorder="1" applyAlignment="1" applyProtection="1">
      <alignment horizontal="center" vertical="center"/>
    </xf>
    <xf numFmtId="0" fontId="55" fillId="20" borderId="0" xfId="0" applyFont="1" applyFill="1" applyBorder="1" applyAlignment="1" applyProtection="1">
      <alignment horizontal="center" vertical="center"/>
    </xf>
    <xf numFmtId="168" fontId="53" fillId="20" borderId="0" xfId="57" applyNumberFormat="1" applyFont="1" applyFill="1" applyBorder="1" applyAlignment="1" applyProtection="1">
      <alignment horizontal="right"/>
    </xf>
    <xf numFmtId="9" fontId="56" fillId="20" borderId="0" xfId="0" applyNumberFormat="1" applyFont="1" applyFill="1" applyBorder="1" applyProtection="1"/>
    <xf numFmtId="0" fontId="57" fillId="20" borderId="0" xfId="0" applyFont="1" applyFill="1" applyBorder="1" applyAlignment="1" applyProtection="1">
      <alignment horizontal="center" vertical="center"/>
    </xf>
    <xf numFmtId="9" fontId="56" fillId="20" borderId="0" xfId="0" applyNumberFormat="1" applyFont="1" applyFill="1" applyBorder="1" applyAlignment="1" applyProtection="1">
      <alignment horizontal="left"/>
    </xf>
    <xf numFmtId="0" fontId="65" fillId="0" borderId="0"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50" fillId="0" borderId="0" xfId="0" applyFont="1" applyFill="1" applyBorder="1" applyAlignment="1" applyProtection="1">
      <alignment horizontal="right" vertical="center" indent="1"/>
    </xf>
    <xf numFmtId="0" fontId="54" fillId="0" borderId="31" xfId="0" applyNumberFormat="1" applyFont="1" applyFill="1" applyBorder="1" applyAlignment="1" applyProtection="1">
      <alignment horizontal="right"/>
    </xf>
    <xf numFmtId="0" fontId="54" fillId="0" borderId="32" xfId="0" applyNumberFormat="1" applyFont="1" applyFill="1" applyBorder="1" applyAlignment="1" applyProtection="1">
      <alignment horizontal="right"/>
    </xf>
    <xf numFmtId="0" fontId="54" fillId="0" borderId="33" xfId="0" applyNumberFormat="1" applyFont="1" applyFill="1" applyBorder="1" applyAlignment="1" applyProtection="1">
      <alignment horizontal="right"/>
    </xf>
    <xf numFmtId="0" fontId="63" fillId="0" borderId="0" xfId="0" applyFont="1" applyFill="1" applyBorder="1" applyAlignment="1" applyProtection="1">
      <alignment horizontal="center"/>
    </xf>
    <xf numFmtId="0" fontId="54" fillId="0" borderId="0" xfId="0" applyNumberFormat="1" applyFont="1" applyFill="1" applyBorder="1" applyAlignment="1" applyProtection="1">
      <alignment horizontal="right"/>
    </xf>
    <xf numFmtId="0" fontId="64" fillId="0" borderId="0" xfId="0" applyFont="1" applyFill="1" applyBorder="1" applyAlignment="1" applyProtection="1">
      <alignment horizontal="center" vertical="center"/>
    </xf>
    <xf numFmtId="9" fontId="67" fillId="0" borderId="0" xfId="0" applyNumberFormat="1" applyFont="1" applyFill="1" applyBorder="1" applyAlignment="1" applyProtection="1"/>
    <xf numFmtId="9" fontId="67" fillId="0" borderId="0" xfId="0" applyNumberFormat="1" applyFont="1" applyFill="1" applyBorder="1" applyAlignment="1" applyProtection="1">
      <alignment horizontal="center"/>
    </xf>
    <xf numFmtId="0" fontId="54" fillId="0" borderId="34" xfId="0" applyNumberFormat="1" applyFont="1" applyFill="1" applyBorder="1" applyAlignment="1" applyProtection="1">
      <alignment horizontal="right"/>
    </xf>
    <xf numFmtId="9" fontId="56" fillId="0" borderId="0" xfId="0" applyNumberFormat="1" applyFont="1" applyFill="1" applyBorder="1" applyProtection="1"/>
    <xf numFmtId="0" fontId="54" fillId="0" borderId="35" xfId="0" applyNumberFormat="1" applyFont="1" applyFill="1" applyBorder="1" applyAlignment="1" applyProtection="1">
      <alignment horizontal="right"/>
    </xf>
    <xf numFmtId="0" fontId="54" fillId="0" borderId="36" xfId="0" applyNumberFormat="1" applyFont="1" applyFill="1" applyBorder="1" applyAlignment="1" applyProtection="1">
      <alignment horizontal="right"/>
    </xf>
    <xf numFmtId="0" fontId="35" fillId="0" borderId="37" xfId="0" applyNumberFormat="1" applyFont="1" applyFill="1" applyBorder="1" applyAlignment="1" applyProtection="1">
      <alignment vertical="center"/>
    </xf>
    <xf numFmtId="0" fontId="35" fillId="0" borderId="38" xfId="0" applyNumberFormat="1" applyFont="1" applyFill="1" applyBorder="1" applyAlignment="1" applyProtection="1">
      <alignment vertical="center"/>
    </xf>
    <xf numFmtId="0" fontId="35" fillId="0" borderId="39" xfId="0" applyNumberFormat="1" applyFont="1" applyFill="1" applyBorder="1" applyAlignment="1" applyProtection="1">
      <alignment vertical="center"/>
    </xf>
    <xf numFmtId="0" fontId="45" fillId="0" borderId="0" xfId="0" applyFont="1" applyProtection="1"/>
    <xf numFmtId="0" fontId="66" fillId="0" borderId="0" xfId="0" applyFont="1" applyProtection="1"/>
    <xf numFmtId="0" fontId="60" fillId="0" borderId="0" xfId="0" applyFont="1" applyProtection="1"/>
    <xf numFmtId="0" fontId="74" fillId="0" borderId="0" xfId="0" applyFont="1" applyBorder="1" applyAlignment="1" applyProtection="1">
      <alignment wrapText="1"/>
    </xf>
    <xf numFmtId="0" fontId="70" fillId="0" borderId="0" xfId="0" applyFont="1" applyFill="1" applyBorder="1" applyAlignment="1" applyProtection="1"/>
    <xf numFmtId="43" fontId="16" fillId="0" borderId="0" xfId="0" applyNumberFormat="1" applyFont="1"/>
    <xf numFmtId="0" fontId="29" fillId="0" borderId="0" xfId="0" applyNumberFormat="1" applyFont="1" applyAlignment="1" applyProtection="1">
      <alignment horizontal="center"/>
    </xf>
    <xf numFmtId="0" fontId="29" fillId="0" borderId="0" xfId="0" applyFont="1" applyAlignment="1" applyProtection="1">
      <alignment horizontal="center"/>
    </xf>
    <xf numFmtId="15" fontId="29"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8" fillId="0" borderId="0" xfId="0" applyNumberFormat="1" applyFont="1" applyBorder="1" applyProtection="1"/>
    <xf numFmtId="43" fontId="38" fillId="0" borderId="0" xfId="0" applyNumberFormat="1" applyFont="1" applyProtection="1"/>
    <xf numFmtId="166" fontId="7" fillId="0" borderId="0" xfId="28" applyNumberFormat="1" applyFont="1" applyFill="1" applyBorder="1" applyAlignment="1" applyProtection="1">
      <protection locked="0"/>
    </xf>
    <xf numFmtId="166" fontId="7" fillId="0" borderId="0" xfId="28" applyNumberFormat="1" applyFont="1" applyFill="1" applyBorder="1" applyProtection="1">
      <protection locked="0"/>
    </xf>
    <xf numFmtId="0" fontId="0" fillId="0" borderId="0" xfId="0" applyBorder="1" applyAlignment="1">
      <alignment horizontal="center"/>
    </xf>
    <xf numFmtId="0" fontId="16" fillId="20" borderId="0" xfId="0" applyFont="1" applyFill="1"/>
    <xf numFmtId="164" fontId="16" fillId="20" borderId="0" xfId="0" applyNumberFormat="1" applyFont="1" applyFill="1"/>
    <xf numFmtId="166" fontId="16" fillId="20" borderId="0" xfId="0" applyNumberFormat="1" applyFont="1" applyFill="1"/>
    <xf numFmtId="3" fontId="16" fillId="20" borderId="0" xfId="0" applyNumberFormat="1" applyFont="1" applyFill="1" applyProtection="1"/>
    <xf numFmtId="164" fontId="16" fillId="20" borderId="0" xfId="0" applyNumberFormat="1" applyFont="1" applyFill="1" applyProtection="1"/>
    <xf numFmtId="0" fontId="35" fillId="0" borderId="0" xfId="0" applyFont="1" applyFill="1" applyAlignment="1" applyProtection="1">
      <alignment horizontal="left"/>
      <protection locked="0"/>
    </xf>
    <xf numFmtId="0" fontId="35" fillId="0" borderId="0" xfId="0" applyFont="1" applyFill="1" applyBorder="1" applyAlignment="1" applyProtection="1">
      <alignment horizontal="left"/>
      <protection locked="0"/>
    </xf>
    <xf numFmtId="0" fontId="29" fillId="0" borderId="0" xfId="0" applyFont="1" applyFill="1" applyBorder="1" applyAlignment="1">
      <alignment vertical="center" wrapText="1"/>
    </xf>
    <xf numFmtId="0" fontId="29" fillId="0" borderId="0" xfId="0" applyFont="1" applyFill="1" applyBorder="1" applyAlignment="1">
      <alignment horizontal="center"/>
    </xf>
    <xf numFmtId="0" fontId="0" fillId="20" borderId="0" xfId="0" applyFill="1" applyBorder="1" applyAlignment="1">
      <alignment horizontal="center"/>
    </xf>
    <xf numFmtId="0" fontId="29" fillId="0" borderId="40" xfId="0" applyFont="1" applyFill="1" applyBorder="1" applyAlignment="1" applyProtection="1">
      <alignment horizontal="center" wrapText="1"/>
    </xf>
    <xf numFmtId="0" fontId="29" fillId="0" borderId="41" xfId="0" applyFont="1" applyFill="1" applyBorder="1" applyAlignment="1" applyProtection="1">
      <alignment horizontal="center" wrapText="1"/>
    </xf>
    <xf numFmtId="0" fontId="0" fillId="0" borderId="41" xfId="0" applyBorder="1" applyProtection="1"/>
    <xf numFmtId="43" fontId="18" fillId="0" borderId="0" xfId="48" applyFont="1" applyFill="1" applyAlignment="1" applyProtection="1">
      <alignment horizontal="center" vertical="center"/>
    </xf>
    <xf numFmtId="43" fontId="17" fillId="0" borderId="0" xfId="48" applyFont="1" applyFill="1" applyAlignment="1" applyProtection="1">
      <alignment vertical="center"/>
    </xf>
    <xf numFmtId="0" fontId="85" fillId="0" borderId="0" xfId="0" applyFont="1"/>
    <xf numFmtId="43" fontId="15" fillId="0" borderId="0" xfId="0" applyNumberFormat="1" applyFont="1" applyAlignment="1" applyProtection="1">
      <alignment horizontal="center"/>
    </xf>
    <xf numFmtId="0" fontId="13" fillId="0" borderId="0" xfId="0" applyFont="1"/>
    <xf numFmtId="0" fontId="0" fillId="20" borderId="0" xfId="0" applyFill="1" applyProtection="1"/>
    <xf numFmtId="0" fontId="0" fillId="20" borderId="42" xfId="0" applyFill="1" applyBorder="1" applyProtection="1"/>
    <xf numFmtId="43" fontId="88" fillId="0" borderId="0" xfId="0" applyNumberFormat="1" applyFont="1"/>
    <xf numFmtId="0" fontId="88" fillId="0" borderId="0" xfId="0" applyFont="1"/>
    <xf numFmtId="43" fontId="0" fillId="0" borderId="0" xfId="0" quotePrefix="1" applyNumberFormat="1"/>
    <xf numFmtId="43" fontId="0" fillId="0" borderId="0" xfId="0" applyNumberFormat="1"/>
    <xf numFmtId="0" fontId="35" fillId="0" borderId="43" xfId="0" applyNumberFormat="1" applyFont="1" applyFill="1" applyBorder="1" applyAlignment="1" applyProtection="1">
      <alignment vertical="center"/>
    </xf>
    <xf numFmtId="43" fontId="134" fillId="0" borderId="0" xfId="53" applyFill="1" applyBorder="1" applyAlignment="1" applyProtection="1">
      <alignment horizontal="center"/>
    </xf>
    <xf numFmtId="0" fontId="35" fillId="0" borderId="0" xfId="0" quotePrefix="1" applyFont="1" applyProtection="1"/>
    <xf numFmtId="43" fontId="90" fillId="0" borderId="28" xfId="62" applyFont="1" applyFill="1" applyBorder="1" applyAlignment="1" applyProtection="1"/>
    <xf numFmtId="43" fontId="10" fillId="0" borderId="28" xfId="62" applyFont="1" applyFill="1" applyBorder="1" applyAlignment="1" applyProtection="1">
      <alignment vertical="center"/>
    </xf>
    <xf numFmtId="3" fontId="68" fillId="22" borderId="10" xfId="0" applyNumberFormat="1" applyFont="1" applyFill="1" applyBorder="1" applyAlignment="1" applyProtection="1">
      <alignment vertical="center"/>
      <protection locked="0"/>
    </xf>
    <xf numFmtId="0" fontId="68" fillId="23" borderId="10" xfId="0" applyFont="1" applyFill="1" applyBorder="1" applyProtection="1"/>
    <xf numFmtId="0" fontId="3" fillId="0" borderId="44" xfId="0" applyFont="1" applyFill="1" applyBorder="1" applyAlignment="1" applyProtection="1">
      <alignment horizontal="center"/>
    </xf>
    <xf numFmtId="0" fontId="68" fillId="0" borderId="10" xfId="0" applyFont="1" applyFill="1" applyBorder="1" applyAlignment="1" applyProtection="1">
      <alignment horizontal="center"/>
    </xf>
    <xf numFmtId="0" fontId="68" fillId="23" borderId="10" xfId="0" applyFont="1" applyFill="1" applyBorder="1" applyAlignment="1" applyProtection="1">
      <alignment horizontal="center"/>
    </xf>
    <xf numFmtId="0" fontId="2" fillId="0" borderId="0" xfId="0" applyFont="1"/>
    <xf numFmtId="0" fontId="91" fillId="0" borderId="0" xfId="0" applyFont="1"/>
    <xf numFmtId="43" fontId="92" fillId="0" borderId="28" xfId="62" applyFont="1" applyFill="1" applyBorder="1" applyAlignment="1" applyProtection="1">
      <alignment vertical="center"/>
    </xf>
    <xf numFmtId="15" fontId="37" fillId="0" borderId="0" xfId="0" applyNumberFormat="1" applyFont="1" applyAlignment="1" applyProtection="1">
      <alignment horizontal="center"/>
    </xf>
    <xf numFmtId="1" fontId="22" fillId="24" borderId="10" xfId="0" applyNumberFormat="1" applyFont="1" applyFill="1" applyBorder="1" applyAlignment="1" applyProtection="1">
      <alignment horizontal="center"/>
      <protection locked="0"/>
    </xf>
    <xf numFmtId="1" fontId="22" fillId="24" borderId="45"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applyProtection="1"/>
    <xf numFmtId="43" fontId="21" fillId="0" borderId="0" xfId="51" applyFont="1" applyFill="1" applyAlignment="1" applyProtection="1">
      <alignment horizontal="right" vertical="center"/>
    </xf>
    <xf numFmtId="0" fontId="97" fillId="0" borderId="0" xfId="0" applyFont="1" applyFill="1" applyBorder="1" applyAlignment="1" applyProtection="1">
      <alignment horizontal="right"/>
    </xf>
    <xf numFmtId="43" fontId="98" fillId="0" borderId="14" xfId="62" applyFont="1" applyFill="1" applyBorder="1" applyAlignment="1" applyProtection="1">
      <alignment horizontal="left" vertical="center"/>
    </xf>
    <xf numFmtId="0" fontId="99" fillId="0" borderId="0" xfId="0" applyFont="1" applyFill="1" applyBorder="1" applyProtection="1"/>
    <xf numFmtId="0" fontId="97" fillId="0" borderId="0" xfId="0" applyFont="1" applyBorder="1" applyProtection="1"/>
    <xf numFmtId="3" fontId="7" fillId="0" borderId="0" xfId="0" applyNumberFormat="1" applyFont="1" applyAlignment="1" applyProtection="1">
      <alignment horizontal="right"/>
    </xf>
    <xf numFmtId="15" fontId="96" fillId="0" borderId="0" xfId="0" applyNumberFormat="1" applyFont="1" applyFill="1" applyBorder="1" applyAlignment="1" applyProtection="1">
      <alignment horizontal="left"/>
    </xf>
    <xf numFmtId="0" fontId="101" fillId="0" borderId="0" xfId="0" applyFont="1" applyFill="1" applyBorder="1" applyAlignment="1" applyProtection="1">
      <alignment horizontal="center" wrapText="1"/>
    </xf>
    <xf numFmtId="0" fontId="97" fillId="0" borderId="0" xfId="0" applyFont="1" applyFill="1" applyBorder="1" applyAlignment="1" applyProtection="1">
      <alignment horizontal="center"/>
    </xf>
    <xf numFmtId="3" fontId="3" fillId="22" borderId="10" xfId="0" applyNumberFormat="1" applyFont="1" applyFill="1" applyBorder="1" applyAlignment="1" applyProtection="1">
      <alignment vertical="center"/>
      <protection locked="0"/>
    </xf>
    <xf numFmtId="0" fontId="0" fillId="0" borderId="0" xfId="0" quotePrefix="1" applyProtection="1"/>
    <xf numFmtId="15" fontId="33" fillId="0" borderId="46" xfId="0" applyNumberFormat="1" applyFont="1" applyBorder="1" applyAlignment="1" applyProtection="1">
      <alignment horizontal="center"/>
    </xf>
    <xf numFmtId="15" fontId="30" fillId="0" borderId="0" xfId="0" applyNumberFormat="1" applyFont="1" applyFill="1" applyBorder="1" applyAlignment="1" applyProtection="1">
      <alignment horizontal="center" vertical="center" wrapText="1"/>
    </xf>
    <xf numFmtId="0" fontId="78" fillId="0" borderId="47" xfId="0" applyFont="1" applyFill="1" applyBorder="1" applyAlignment="1" applyProtection="1">
      <alignment horizontal="center" vertical="center"/>
    </xf>
    <xf numFmtId="0" fontId="107" fillId="0" borderId="0" xfId="0" applyFont="1" applyBorder="1" applyAlignment="1" applyProtection="1">
      <alignment horizontal="right"/>
    </xf>
    <xf numFmtId="0" fontId="107" fillId="0" borderId="0" xfId="0" applyFont="1" applyAlignment="1" applyProtection="1">
      <alignment horizontal="right"/>
    </xf>
    <xf numFmtId="0" fontId="107" fillId="0" borderId="48" xfId="0" applyFont="1" applyBorder="1" applyAlignment="1" applyProtection="1">
      <alignment horizontal="right"/>
    </xf>
    <xf numFmtId="43" fontId="106" fillId="0" borderId="0" xfId="40" applyFont="1" applyFill="1" applyAlignment="1" applyProtection="1">
      <alignment vertical="center"/>
    </xf>
    <xf numFmtId="0" fontId="107" fillId="0" borderId="0" xfId="0" applyFont="1" applyProtection="1"/>
    <xf numFmtId="0" fontId="107" fillId="0" borderId="0" xfId="0" applyFont="1" applyBorder="1" applyProtection="1"/>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97" fillId="0" borderId="0" xfId="0" applyNumberFormat="1" applyFont="1" applyFill="1" applyBorder="1" applyAlignment="1" applyProtection="1">
      <alignment horizontal="center"/>
    </xf>
    <xf numFmtId="0" fontId="0" fillId="0" borderId="0" xfId="0" applyFill="1" applyBorder="1" applyProtection="1">
      <protection locked="0"/>
    </xf>
    <xf numFmtId="0" fontId="94" fillId="0" borderId="0" xfId="0" applyFont="1" applyFill="1" applyBorder="1" applyAlignment="1" applyProtection="1">
      <alignment horizontal="center" vertical="center"/>
    </xf>
    <xf numFmtId="0" fontId="7" fillId="0" borderId="49" xfId="0" applyFont="1" applyBorder="1" applyAlignment="1" applyProtection="1"/>
    <xf numFmtId="0" fontId="7" fillId="0" borderId="50" xfId="0" applyFont="1" applyBorder="1" applyAlignment="1" applyProtection="1"/>
    <xf numFmtId="0" fontId="26" fillId="0" borderId="51" xfId="0" applyFont="1" applyBorder="1" applyAlignment="1" applyProtection="1">
      <alignment vertical="distributed"/>
    </xf>
    <xf numFmtId="15" fontId="28" fillId="0" borderId="52" xfId="0" applyNumberFormat="1" applyFont="1" applyFill="1" applyBorder="1" applyAlignment="1" applyProtection="1">
      <alignment horizontal="center" vertical="center" wrapText="1"/>
    </xf>
    <xf numFmtId="0" fontId="7" fillId="0" borderId="0" xfId="0" applyFont="1" applyFill="1" applyBorder="1" applyAlignment="1" applyProtection="1">
      <protection locked="0"/>
    </xf>
    <xf numFmtId="0" fontId="102" fillId="0" borderId="0" xfId="0" applyFont="1" applyFill="1" applyBorder="1" applyAlignment="1" applyProtection="1">
      <alignment horizontal="left"/>
      <protection locked="0"/>
    </xf>
    <xf numFmtId="0" fontId="27" fillId="0" borderId="53" xfId="0" applyFont="1" applyFill="1" applyBorder="1" applyAlignment="1" applyProtection="1"/>
    <xf numFmtId="15" fontId="27" fillId="0" borderId="10" xfId="0" applyNumberFormat="1" applyFont="1" applyFill="1" applyBorder="1" applyAlignment="1" applyProtection="1">
      <alignment horizontal="center"/>
    </xf>
    <xf numFmtId="15" fontId="27" fillId="0" borderId="54" xfId="0" applyNumberFormat="1" applyFont="1" applyFill="1" applyBorder="1" applyAlignment="1" applyProtection="1">
      <alignment horizontal="center"/>
    </xf>
    <xf numFmtId="0" fontId="33" fillId="25" borderId="55" xfId="0" applyFont="1" applyFill="1" applyBorder="1" applyAlignment="1" applyProtection="1">
      <alignment horizontal="centerContinuous"/>
    </xf>
    <xf numFmtId="15" fontId="103" fillId="0" borderId="41" xfId="0" applyNumberFormat="1" applyFont="1" applyFill="1" applyBorder="1" applyAlignment="1" applyProtection="1">
      <alignment horizontal="center" wrapText="1"/>
    </xf>
    <xf numFmtId="15" fontId="103" fillId="0" borderId="56" xfId="0" applyNumberFormat="1" applyFont="1" applyFill="1" applyBorder="1" applyAlignment="1" applyProtection="1">
      <alignment horizontal="center" wrapText="1"/>
    </xf>
    <xf numFmtId="0" fontId="38" fillId="0" borderId="53" xfId="0" applyFont="1" applyFill="1" applyBorder="1" applyAlignment="1" applyProtection="1">
      <alignment horizontal="center"/>
    </xf>
    <xf numFmtId="0" fontId="38" fillId="0" borderId="57" xfId="0" applyFont="1" applyFill="1" applyBorder="1" applyAlignment="1" applyProtection="1">
      <alignment horizontal="center"/>
    </xf>
    <xf numFmtId="0" fontId="33" fillId="25" borderId="58"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96" fillId="0" borderId="0" xfId="0" applyFont="1" applyFill="1" applyBorder="1" applyAlignment="1" applyProtection="1">
      <alignment horizont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5" xfId="0" applyNumberFormat="1" applyFill="1" applyBorder="1" applyAlignment="1" applyProtection="1">
      <alignment horizontal="center"/>
      <protection locked="0"/>
    </xf>
    <xf numFmtId="0" fontId="0" fillId="0" borderId="59" xfId="0" applyBorder="1" applyAlignment="1" applyProtection="1">
      <alignment horizontal="center"/>
    </xf>
    <xf numFmtId="0" fontId="0" fillId="0" borderId="53" xfId="0" applyBorder="1" applyAlignment="1" applyProtection="1">
      <alignment horizontal="center" wrapText="1"/>
    </xf>
    <xf numFmtId="0" fontId="0" fillId="0" borderId="41" xfId="0" applyFill="1" applyBorder="1" applyAlignment="1" applyProtection="1">
      <alignment horizontal="center"/>
    </xf>
    <xf numFmtId="0" fontId="2" fillId="0" borderId="40" xfId="0" applyFont="1" applyFill="1" applyBorder="1" applyAlignment="1" applyProtection="1">
      <alignment horizontal="center" wrapText="1"/>
    </xf>
    <xf numFmtId="0" fontId="29" fillId="0" borderId="40" xfId="0" applyFont="1" applyBorder="1" applyAlignment="1">
      <alignment horizontal="center" wrapText="1"/>
    </xf>
    <xf numFmtId="3" fontId="68" fillId="22" borderId="60" xfId="0" applyNumberFormat="1" applyFont="1" applyFill="1" applyBorder="1" applyAlignment="1" applyProtection="1">
      <alignment vertical="center"/>
      <protection locked="0"/>
    </xf>
    <xf numFmtId="0" fontId="68" fillId="0" borderId="61" xfId="0" applyFont="1" applyFill="1" applyBorder="1" applyAlignment="1" applyProtection="1">
      <alignment horizontal="center"/>
    </xf>
    <xf numFmtId="0" fontId="78" fillId="0" borderId="62" xfId="0" applyFont="1" applyFill="1" applyBorder="1" applyAlignment="1" applyProtection="1">
      <alignment horizontal="center" vertical="center"/>
    </xf>
    <xf numFmtId="43" fontId="108" fillId="0" borderId="20" xfId="62" applyFont="1" applyFill="1" applyBorder="1" applyAlignment="1" applyProtection="1">
      <alignment vertical="center"/>
    </xf>
    <xf numFmtId="0" fontId="25" fillId="0" borderId="0" xfId="0" applyFont="1" applyProtection="1"/>
    <xf numFmtId="0" fontId="0" fillId="0" borderId="10" xfId="0" applyBorder="1" applyAlignment="1" applyProtection="1">
      <alignment horizontal="center"/>
    </xf>
    <xf numFmtId="43" fontId="103" fillId="0" borderId="0" xfId="0" applyNumberFormat="1" applyFont="1" applyBorder="1" applyAlignment="1" applyProtection="1">
      <alignment vertical="center" wrapText="1"/>
    </xf>
    <xf numFmtId="0" fontId="103" fillId="0" borderId="0" xfId="0" applyFont="1" applyFill="1" applyBorder="1" applyAlignment="1" applyProtection="1">
      <alignment wrapText="1"/>
    </xf>
    <xf numFmtId="0" fontId="29" fillId="0" borderId="63" xfId="0" applyFont="1" applyFill="1" applyBorder="1" applyAlignment="1" applyProtection="1">
      <alignment wrapText="1"/>
    </xf>
    <xf numFmtId="0" fontId="35" fillId="0" borderId="64" xfId="0" applyFont="1" applyFill="1" applyBorder="1" applyAlignment="1" applyProtection="1">
      <alignment horizontal="center" wrapText="1"/>
    </xf>
    <xf numFmtId="0" fontId="22" fillId="20" borderId="29" xfId="0" applyFont="1" applyFill="1" applyBorder="1" applyAlignment="1" applyProtection="1"/>
    <xf numFmtId="0" fontId="29" fillId="0" borderId="0" xfId="0" applyFont="1" applyFill="1" applyBorder="1" applyAlignment="1" applyProtection="1">
      <alignment wrapText="1"/>
    </xf>
    <xf numFmtId="1" fontId="0" fillId="20" borderId="10" xfId="0" applyNumberFormat="1" applyFill="1" applyBorder="1" applyAlignment="1" applyProtection="1">
      <alignment horizontal="center"/>
    </xf>
    <xf numFmtId="9" fontId="105" fillId="26" borderId="10" xfId="57" applyFont="1" applyFill="1" applyBorder="1" applyAlignment="1" applyProtection="1">
      <alignment horizontal="center" vertical="center" wrapText="1"/>
    </xf>
    <xf numFmtId="43" fontId="29" fillId="0" borderId="0" xfId="0" applyNumberFormat="1" applyFont="1" applyAlignment="1" applyProtection="1"/>
    <xf numFmtId="15" fontId="29" fillId="0" borderId="0" xfId="0" applyNumberFormat="1" applyFont="1"/>
    <xf numFmtId="0" fontId="0" fillId="0" borderId="28" xfId="0" applyFill="1" applyBorder="1" applyProtection="1"/>
    <xf numFmtId="43" fontId="109" fillId="0" borderId="28" xfId="62" applyFont="1" applyFill="1" applyBorder="1" applyAlignment="1" applyProtection="1">
      <alignment vertical="center"/>
    </xf>
    <xf numFmtId="0" fontId="0" fillId="0" borderId="28" xfId="0" applyBorder="1" applyProtection="1"/>
    <xf numFmtId="0" fontId="0" fillId="0" borderId="28" xfId="0" applyBorder="1"/>
    <xf numFmtId="9" fontId="16" fillId="0" borderId="0" xfId="57" applyFont="1" applyProtection="1"/>
    <xf numFmtId="43" fontId="25" fillId="24" borderId="65" xfId="59" applyFont="1" applyFill="1" applyBorder="1" applyAlignment="1" applyProtection="1">
      <alignment horizontal="center"/>
    </xf>
    <xf numFmtId="15" fontId="25" fillId="24" borderId="65" xfId="59" applyNumberFormat="1" applyFont="1" applyFill="1" applyBorder="1" applyAlignment="1" applyProtection="1">
      <alignment horizontal="center"/>
    </xf>
    <xf numFmtId="43" fontId="88" fillId="0" borderId="0" xfId="0" applyNumberFormat="1" applyFont="1" applyAlignment="1"/>
    <xf numFmtId="0" fontId="35" fillId="0" borderId="40" xfId="0" applyFont="1" applyFill="1" applyBorder="1" applyAlignment="1" applyProtection="1">
      <alignment horizontal="center" wrapText="1"/>
    </xf>
    <xf numFmtId="0" fontId="68" fillId="0" borderId="66" xfId="0" applyFont="1" applyFill="1" applyBorder="1" applyProtection="1"/>
    <xf numFmtId="0" fontId="31" fillId="27" borderId="0" xfId="0" applyFont="1" applyFill="1" applyBorder="1" applyAlignment="1" applyProtection="1">
      <alignment horizontal="left"/>
      <protection locked="0"/>
    </xf>
    <xf numFmtId="0" fontId="35" fillId="27" borderId="0" xfId="0" applyFont="1" applyFill="1" applyBorder="1" applyAlignment="1" applyProtection="1">
      <alignment horizontal="left"/>
      <protection locked="0"/>
    </xf>
    <xf numFmtId="0" fontId="35" fillId="27" borderId="0" xfId="0" applyFont="1" applyFill="1" applyAlignment="1" applyProtection="1">
      <alignment horizontal="left"/>
      <protection locked="0"/>
    </xf>
    <xf numFmtId="49" fontId="0" fillId="0" borderId="0" xfId="0" applyNumberFormat="1" applyProtection="1"/>
    <xf numFmtId="0" fontId="0" fillId="24" borderId="45"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2" fillId="0" borderId="10" xfId="28" applyNumberFormat="1" applyFont="1" applyFill="1" applyBorder="1" applyAlignment="1" applyProtection="1">
      <alignment horizontal="right"/>
    </xf>
    <xf numFmtId="3" fontId="0" fillId="24" borderId="10" xfId="0" applyNumberFormat="1" applyFill="1" applyBorder="1" applyProtection="1">
      <protection locked="0"/>
    </xf>
    <xf numFmtId="3" fontId="0" fillId="0" borderId="10" xfId="0" applyNumberFormat="1" applyFill="1" applyBorder="1" applyProtection="1"/>
    <xf numFmtId="3" fontId="0" fillId="24" borderId="67" xfId="0" applyNumberFormat="1" applyFill="1" applyBorder="1" applyProtection="1">
      <protection locked="0"/>
    </xf>
    <xf numFmtId="171" fontId="22" fillId="20" borderId="0" xfId="0" applyNumberFormat="1" applyFont="1" applyFill="1"/>
    <xf numFmtId="4" fontId="0" fillId="0" borderId="0" xfId="0" applyNumberFormat="1" applyProtection="1"/>
    <xf numFmtId="1" fontId="0" fillId="25" borderId="54" xfId="0" applyNumberFormat="1" applyFill="1" applyBorder="1" applyAlignment="1" applyProtection="1">
      <alignment horizontal="center"/>
      <protection locked="0"/>
    </xf>
    <xf numFmtId="1" fontId="0" fillId="25" borderId="68" xfId="0" applyNumberFormat="1" applyFill="1" applyBorder="1" applyAlignment="1" applyProtection="1">
      <alignment horizontal="center"/>
      <protection locked="0"/>
    </xf>
    <xf numFmtId="1" fontId="0" fillId="25" borderId="69" xfId="0" applyNumberFormat="1" applyFill="1" applyBorder="1" applyAlignment="1" applyProtection="1">
      <alignment horizontal="center"/>
      <protection locked="0"/>
    </xf>
    <xf numFmtId="164" fontId="33" fillId="19" borderId="70" xfId="0" applyNumberFormat="1" applyFont="1" applyFill="1" applyBorder="1" applyAlignment="1" applyProtection="1">
      <alignment horizontal="center"/>
      <protection locked="0"/>
    </xf>
    <xf numFmtId="164" fontId="33" fillId="19" borderId="71" xfId="0" applyNumberFormat="1" applyFont="1" applyFill="1" applyBorder="1" applyAlignment="1" applyProtection="1">
      <alignment horizontal="center"/>
      <protection locked="0"/>
    </xf>
    <xf numFmtId="164" fontId="33" fillId="19" borderId="72" xfId="0" applyNumberFormat="1" applyFont="1" applyFill="1" applyBorder="1" applyAlignment="1" applyProtection="1">
      <alignment horizontal="center"/>
      <protection locked="0"/>
    </xf>
    <xf numFmtId="0" fontId="0" fillId="0" borderId="73" xfId="0" applyFill="1" applyBorder="1" applyAlignment="1" applyProtection="1">
      <alignment horizontal="center"/>
    </xf>
    <xf numFmtId="0" fontId="0" fillId="0" borderId="0" xfId="0" applyBorder="1" applyAlignment="1">
      <alignment horizontal="left" wrapText="1"/>
    </xf>
    <xf numFmtId="43" fontId="36" fillId="0" borderId="0" xfId="0" applyNumberFormat="1" applyFont="1"/>
    <xf numFmtId="0" fontId="0" fillId="0" borderId="0" xfId="0" applyBorder="1" applyAlignment="1">
      <alignment horizontal="left"/>
    </xf>
    <xf numFmtId="43" fontId="2" fillId="0" borderId="65" xfId="59" applyFont="1" applyBorder="1" applyAlignment="1" applyProtection="1">
      <alignment horizontal="right"/>
    </xf>
    <xf numFmtId="43" fontId="113" fillId="0" borderId="0" xfId="52" applyFont="1" applyFill="1" applyBorder="1" applyProtection="1"/>
    <xf numFmtId="3" fontId="29" fillId="25" borderId="70" xfId="0" applyNumberFormat="1" applyFont="1" applyFill="1" applyBorder="1" applyAlignment="1" applyProtection="1">
      <protection locked="0"/>
    </xf>
    <xf numFmtId="3" fontId="29" fillId="25" borderId="74" xfId="0" applyNumberFormat="1" applyFont="1" applyFill="1" applyBorder="1" applyAlignment="1" applyProtection="1">
      <protection locked="0"/>
    </xf>
    <xf numFmtId="3" fontId="29" fillId="0" borderId="10" xfId="0" applyNumberFormat="1" applyFont="1" applyFill="1" applyBorder="1" applyAlignment="1" applyProtection="1"/>
    <xf numFmtId="3" fontId="29" fillId="0" borderId="68" xfId="0" applyNumberFormat="1" applyFont="1" applyFill="1" applyBorder="1" applyAlignment="1" applyProtection="1"/>
    <xf numFmtId="3" fontId="22" fillId="25" borderId="10" xfId="28" applyNumberFormat="1" applyFont="1" applyFill="1" applyBorder="1" applyAlignment="1" applyProtection="1">
      <protection locked="0"/>
    </xf>
    <xf numFmtId="3" fontId="7" fillId="0" borderId="75" xfId="28" applyNumberFormat="1" applyFont="1" applyFill="1" applyBorder="1" applyAlignment="1" applyProtection="1"/>
    <xf numFmtId="3" fontId="22" fillId="25" borderId="76" xfId="28" applyNumberFormat="1" applyFont="1" applyFill="1" applyBorder="1" applyAlignment="1" applyProtection="1">
      <protection locked="0"/>
    </xf>
    <xf numFmtId="3" fontId="7" fillId="0" borderId="77" xfId="28" applyNumberFormat="1" applyFont="1" applyFill="1" applyBorder="1" applyAlignment="1" applyProtection="1"/>
    <xf numFmtId="164" fontId="15" fillId="19" borderId="78"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6" fillId="0" borderId="80" xfId="0" applyNumberFormat="1" applyFont="1" applyFill="1" applyBorder="1" applyAlignment="1" applyProtection="1">
      <alignment vertical="center" wrapText="1"/>
    </xf>
    <xf numFmtId="0" fontId="89" fillId="0" borderId="81" xfId="0" applyNumberFormat="1" applyFont="1" applyFill="1" applyBorder="1" applyAlignment="1" applyProtection="1">
      <alignment horizontal="center" vertical="center" wrapText="1"/>
    </xf>
    <xf numFmtId="0" fontId="89" fillId="0" borderId="82" xfId="0" applyNumberFormat="1" applyFont="1" applyFill="1" applyBorder="1" applyAlignment="1" applyProtection="1">
      <alignment horizontal="center" vertical="center" wrapText="1"/>
    </xf>
    <xf numFmtId="49" fontId="27" fillId="0" borderId="83" xfId="0" applyNumberFormat="1" applyFont="1" applyFill="1" applyBorder="1" applyAlignment="1" applyProtection="1">
      <protection locked="0"/>
    </xf>
    <xf numFmtId="0" fontId="0" fillId="0" borderId="85" xfId="0" applyBorder="1" applyAlignment="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7" xfId="0" applyNumberFormat="1" applyFill="1" applyBorder="1" applyAlignment="1" applyProtection="1">
      <alignment horizontal="left"/>
      <protection locked="0"/>
    </xf>
    <xf numFmtId="0" fontId="0" fillId="24" borderId="67" xfId="0" applyNumberFormat="1" applyFill="1" applyBorder="1" applyProtection="1">
      <protection locked="0"/>
    </xf>
    <xf numFmtId="0" fontId="0" fillId="24" borderId="67" xfId="0" applyNumberFormat="1" applyFill="1" applyBorder="1" applyAlignment="1" applyProtection="1">
      <alignment horizontal="center"/>
      <protection locked="0"/>
    </xf>
    <xf numFmtId="43" fontId="134" fillId="25" borderId="87" xfId="62" applyFill="1" applyBorder="1" applyAlignment="1" applyProtection="1">
      <alignment vertical="center"/>
    </xf>
    <xf numFmtId="0" fontId="0" fillId="27" borderId="88" xfId="0" applyFill="1" applyBorder="1"/>
    <xf numFmtId="0" fontId="0" fillId="0" borderId="20" xfId="0" applyBorder="1" applyProtection="1"/>
    <xf numFmtId="43" fontId="40" fillId="24" borderId="89" xfId="62" applyFont="1" applyFill="1" applyBorder="1" applyAlignment="1" applyProtection="1">
      <alignment horizontal="center" vertical="center"/>
    </xf>
    <xf numFmtId="43" fontId="40" fillId="0" borderId="90" xfId="62" applyFont="1" applyFill="1" applyBorder="1" applyAlignment="1" applyProtection="1">
      <alignment vertical="center"/>
    </xf>
    <xf numFmtId="0" fontId="0" fillId="0" borderId="91" xfId="0" applyNumberFormat="1" applyFill="1" applyBorder="1"/>
    <xf numFmtId="15" fontId="28" fillId="0" borderId="92"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8" fillId="0" borderId="10" xfId="0" applyNumberFormat="1" applyFont="1" applyFill="1" applyBorder="1" applyAlignment="1" applyProtection="1">
      <alignment vertical="center"/>
    </xf>
    <xf numFmtId="3" fontId="68" fillId="0" borderId="61" xfId="0" applyNumberFormat="1" applyFont="1" applyFill="1" applyBorder="1" applyAlignment="1" applyProtection="1">
      <alignment vertical="center"/>
    </xf>
    <xf numFmtId="168" fontId="0" fillId="0" borderId="10" xfId="0" applyNumberFormat="1" applyFill="1" applyBorder="1" applyAlignment="1" applyProtection="1">
      <alignment horizontal="center"/>
    </xf>
    <xf numFmtId="168" fontId="0" fillId="0" borderId="10" xfId="0" applyNumberFormat="1" applyFill="1" applyBorder="1" applyProtection="1"/>
    <xf numFmtId="168" fontId="16" fillId="28" borderId="93" xfId="0" applyNumberFormat="1" applyFont="1" applyFill="1" applyBorder="1" applyAlignment="1" applyProtection="1">
      <alignment horizontal="center"/>
    </xf>
    <xf numFmtId="168" fontId="22" fillId="28" borderId="93" xfId="0" applyNumberFormat="1" applyFont="1" applyFill="1" applyBorder="1" applyAlignment="1" applyProtection="1">
      <alignment horizontal="center"/>
    </xf>
    <xf numFmtId="49" fontId="85" fillId="0" borderId="10" xfId="0" applyNumberFormat="1" applyFont="1" applyBorder="1" applyAlignment="1" applyProtection="1">
      <alignment horizontal="center"/>
      <protection locked="0"/>
    </xf>
    <xf numFmtId="43" fontId="70" fillId="0" borderId="10" xfId="52" applyFont="1" applyBorder="1" applyAlignment="1" applyProtection="1">
      <alignment horizontal="center"/>
    </xf>
    <xf numFmtId="0" fontId="70" fillId="0" borderId="10" xfId="0" applyFont="1" applyBorder="1" applyAlignment="1" applyProtection="1">
      <alignment horizontal="center"/>
    </xf>
    <xf numFmtId="0" fontId="78" fillId="0" borderId="94" xfId="0" applyFont="1" applyFill="1" applyBorder="1" applyAlignment="1" applyProtection="1">
      <alignment horizontal="center" vertical="center" wrapText="1"/>
    </xf>
    <xf numFmtId="0" fontId="78" fillId="0" borderId="95" xfId="0" applyFont="1" applyFill="1" applyBorder="1" applyAlignment="1" applyProtection="1">
      <alignment horizontal="center"/>
    </xf>
    <xf numFmtId="0" fontId="78" fillId="0" borderId="96" xfId="0" applyFont="1" applyFill="1" applyBorder="1" applyAlignment="1" applyProtection="1">
      <alignment horizontal="center"/>
    </xf>
    <xf numFmtId="0" fontId="78" fillId="0" borderId="97" xfId="0" applyNumberFormat="1" applyFont="1" applyFill="1" applyBorder="1" applyAlignment="1" applyProtection="1">
      <alignment horizontal="center"/>
    </xf>
    <xf numFmtId="0" fontId="78" fillId="0" borderId="98" xfId="0" applyNumberFormat="1" applyFont="1" applyFill="1" applyBorder="1" applyAlignment="1" applyProtection="1">
      <alignment horizontal="center"/>
    </xf>
    <xf numFmtId="0" fontId="78" fillId="0" borderId="98" xfId="0" applyNumberFormat="1" applyFont="1" applyFill="1" applyBorder="1" applyAlignment="1" applyProtection="1">
      <alignment horizontal="center" vertical="center"/>
    </xf>
    <xf numFmtId="0" fontId="78" fillId="0" borderId="99" xfId="0" applyNumberFormat="1" applyFont="1" applyFill="1" applyBorder="1" applyAlignment="1" applyProtection="1">
      <alignment horizontal="center" vertical="center"/>
    </xf>
    <xf numFmtId="0" fontId="82" fillId="0" borderId="100" xfId="0" applyNumberFormat="1" applyFont="1" applyFill="1" applyBorder="1" applyAlignment="1" applyProtection="1">
      <alignment horizontal="center" vertical="center"/>
    </xf>
    <xf numFmtId="0" fontId="82" fillId="0" borderId="101" xfId="0" applyNumberFormat="1" applyFont="1" applyFill="1" applyBorder="1" applyAlignment="1" applyProtection="1">
      <alignment horizontal="center" vertical="center"/>
    </xf>
    <xf numFmtId="0" fontId="82" fillId="0" borderId="102" xfId="0" applyNumberFormat="1" applyFont="1" applyFill="1" applyBorder="1" applyAlignment="1" applyProtection="1">
      <alignment horizontal="center" vertical="center"/>
    </xf>
    <xf numFmtId="0" fontId="78" fillId="0" borderId="103" xfId="0" applyFont="1" applyFill="1" applyBorder="1" applyAlignment="1" applyProtection="1">
      <alignment horizontal="center" vertical="center"/>
    </xf>
    <xf numFmtId="0" fontId="78" fillId="0" borderId="104" xfId="0" applyFont="1" applyFill="1" applyBorder="1" applyAlignment="1" applyProtection="1">
      <alignment horizontal="center" vertical="center"/>
    </xf>
    <xf numFmtId="0" fontId="78" fillId="0" borderId="105" xfId="0" applyFont="1" applyFill="1" applyBorder="1" applyAlignment="1" applyProtection="1">
      <alignment horizontal="center" vertical="center"/>
    </xf>
    <xf numFmtId="0" fontId="78" fillId="0" borderId="106" xfId="0" applyFont="1" applyFill="1" applyBorder="1" applyAlignment="1" applyProtection="1">
      <alignment horizontal="center" vertical="center"/>
    </xf>
    <xf numFmtId="0" fontId="3" fillId="0" borderId="107" xfId="0" applyFont="1" applyFill="1" applyBorder="1" applyAlignment="1" applyProtection="1">
      <alignment horizontal="center"/>
    </xf>
    <xf numFmtId="164" fontId="15" fillId="19" borderId="104" xfId="0" applyNumberFormat="1" applyFont="1" applyFill="1" applyBorder="1" applyAlignment="1" applyProtection="1">
      <alignment horizontal="center"/>
      <protection locked="0"/>
    </xf>
    <xf numFmtId="164" fontId="15" fillId="19" borderId="108" xfId="0" applyNumberFormat="1" applyFont="1" applyFill="1" applyBorder="1" applyAlignment="1" applyProtection="1">
      <alignment horizontal="center"/>
      <protection locked="0"/>
    </xf>
    <xf numFmtId="43" fontId="2" fillId="0" borderId="65" xfId="59" applyFont="1" applyFill="1" applyBorder="1" applyAlignment="1" applyProtection="1">
      <alignment horizontal="right"/>
    </xf>
    <xf numFmtId="0" fontId="0" fillId="0" borderId="0" xfId="0" applyBorder="1" applyAlignment="1" applyProtection="1">
      <alignment horizontal="right"/>
    </xf>
    <xf numFmtId="0" fontId="35" fillId="27" borderId="0" xfId="0" applyFont="1" applyFill="1" applyAlignment="1" applyProtection="1">
      <alignment horizontal="right" vertical="top"/>
      <protection locked="0"/>
    </xf>
    <xf numFmtId="0" fontId="35" fillId="27" borderId="0" xfId="0" applyFont="1" applyFill="1" applyBorder="1" applyAlignment="1" applyProtection="1">
      <alignment horizontal="right" vertical="top"/>
      <protection locked="0"/>
    </xf>
    <xf numFmtId="0" fontId="29" fillId="0" borderId="0" xfId="0" applyFont="1" applyAlignment="1">
      <alignment horizontal="left"/>
    </xf>
    <xf numFmtId="0" fontId="29" fillId="0" borderId="0" xfId="0" applyFont="1" applyFill="1" applyAlignment="1">
      <alignment horizontal="left"/>
    </xf>
    <xf numFmtId="0" fontId="81" fillId="0" borderId="66" xfId="0" applyFont="1" applyBorder="1" applyAlignment="1">
      <alignment horizontal="left" vertical="center" wrapText="1"/>
    </xf>
    <xf numFmtId="0" fontId="81" fillId="0" borderId="104" xfId="0" applyFont="1" applyBorder="1" applyAlignment="1">
      <alignment horizontal="left" vertical="center" wrapText="1"/>
    </xf>
    <xf numFmtId="0" fontId="81" fillId="0" borderId="106" xfId="0" applyFont="1" applyBorder="1" applyAlignment="1">
      <alignment horizontal="left" vertical="center" wrapText="1"/>
    </xf>
    <xf numFmtId="0" fontId="29" fillId="0" borderId="0" xfId="0" applyFont="1"/>
    <xf numFmtId="0" fontId="29" fillId="0" borderId="0" xfId="0" applyFont="1" applyFill="1"/>
    <xf numFmtId="0" fontId="123" fillId="0" borderId="0" xfId="0" applyFont="1" applyFill="1"/>
    <xf numFmtId="0" fontId="81" fillId="0" borderId="29" xfId="0" applyFont="1" applyBorder="1" applyAlignment="1" applyProtection="1">
      <alignment horizontal="left" vertical="center" wrapText="1"/>
      <protection locked="0"/>
    </xf>
    <xf numFmtId="0" fontId="81" fillId="0" borderId="109" xfId="0" applyFont="1" applyBorder="1" applyAlignment="1" applyProtection="1">
      <alignment horizontal="left" vertical="center" wrapText="1"/>
      <protection locked="0"/>
    </xf>
    <xf numFmtId="0" fontId="81" fillId="0" borderId="110" xfId="0" applyFont="1" applyBorder="1" applyAlignment="1" applyProtection="1">
      <alignment horizontal="left" vertical="center" wrapText="1"/>
      <protection locked="0"/>
    </xf>
    <xf numFmtId="0" fontId="81" fillId="27" borderId="29" xfId="0" applyFont="1" applyFill="1" applyBorder="1" applyAlignment="1">
      <alignment horizontal="justify" vertical="center" wrapText="1"/>
    </xf>
    <xf numFmtId="0" fontId="82" fillId="27" borderId="109" xfId="0" applyFont="1" applyFill="1" applyBorder="1" applyAlignment="1">
      <alignment horizontal="justify" vertical="center" wrapText="1"/>
    </xf>
    <xf numFmtId="0" fontId="82" fillId="27" borderId="110" xfId="0" applyFont="1" applyFill="1" applyBorder="1" applyAlignment="1">
      <alignment horizontal="justify" vertical="center" wrapText="1"/>
    </xf>
    <xf numFmtId="0" fontId="81" fillId="27" borderId="29" xfId="0" applyFont="1" applyFill="1" applyBorder="1" applyAlignment="1">
      <alignment horizontal="left" vertical="center" wrapText="1"/>
    </xf>
    <xf numFmtId="0" fontId="81" fillId="27" borderId="109" xfId="0" applyFont="1" applyFill="1" applyBorder="1" applyAlignment="1">
      <alignment horizontal="left" vertical="center" wrapText="1"/>
    </xf>
    <xf numFmtId="0" fontId="81" fillId="27" borderId="110" xfId="0" applyFont="1" applyFill="1" applyBorder="1" applyAlignment="1">
      <alignment horizontal="left" vertical="center" wrapText="1"/>
    </xf>
    <xf numFmtId="0" fontId="82" fillId="0" borderId="29" xfId="0" applyFont="1" applyBorder="1" applyAlignment="1">
      <alignment vertical="center" wrapText="1"/>
    </xf>
    <xf numFmtId="0" fontId="82" fillId="0" borderId="109" xfId="0" applyFont="1" applyBorder="1" applyAlignment="1">
      <alignment vertical="center" wrapText="1"/>
    </xf>
    <xf numFmtId="0" fontId="81" fillId="0" borderId="109" xfId="0" applyFont="1" applyBorder="1" applyAlignment="1">
      <alignment horizontal="justify" vertical="center" wrapText="1"/>
    </xf>
    <xf numFmtId="0" fontId="82" fillId="0" borderId="109" xfId="0" applyFont="1" applyBorder="1" applyAlignment="1">
      <alignment horizontal="justify" vertical="center" wrapText="1"/>
    </xf>
    <xf numFmtId="0" fontId="81" fillId="0" borderId="110" xfId="0" applyFont="1" applyBorder="1" applyAlignment="1">
      <alignment horizontal="justify" vertical="center" wrapText="1"/>
    </xf>
    <xf numFmtId="0" fontId="81" fillId="0" borderId="29" xfId="0" applyFont="1" applyBorder="1" applyAlignment="1">
      <alignment horizontal="justify" vertical="center" wrapText="1"/>
    </xf>
    <xf numFmtId="43" fontId="82" fillId="0" borderId="66" xfId="0" applyNumberFormat="1" applyFont="1" applyBorder="1" applyAlignment="1">
      <alignment horizontal="left" vertical="center" wrapText="1"/>
    </xf>
    <xf numFmtId="0" fontId="82" fillId="0" borderId="104" xfId="0" applyFont="1" applyBorder="1" applyAlignment="1">
      <alignment horizontal="left" vertical="center"/>
    </xf>
    <xf numFmtId="0" fontId="82" fillId="0" borderId="106" xfId="0" applyFont="1" applyBorder="1" applyAlignment="1">
      <alignment horizontal="left" vertical="center"/>
    </xf>
    <xf numFmtId="0" fontId="124" fillId="0" borderId="0" xfId="0" applyFont="1" applyAlignment="1">
      <alignment horizontal="right"/>
    </xf>
    <xf numFmtId="0" fontId="68" fillId="23" borderId="10" xfId="0" applyFont="1" applyFill="1" applyBorder="1" applyAlignment="1" applyProtection="1">
      <alignment horizontal="left"/>
    </xf>
    <xf numFmtId="0" fontId="68" fillId="0" borderId="10" xfId="0" applyFont="1" applyFill="1" applyBorder="1" applyAlignment="1" applyProtection="1">
      <alignment horizontal="left"/>
    </xf>
    <xf numFmtId="0" fontId="125" fillId="0" borderId="0" xfId="0" applyFont="1" applyAlignment="1" applyProtection="1">
      <alignment vertical="center"/>
    </xf>
    <xf numFmtId="0" fontId="126" fillId="0" borderId="0" xfId="0" applyFont="1" applyProtection="1"/>
    <xf numFmtId="3" fontId="25" fillId="24" borderId="65" xfId="59" applyNumberFormat="1" applyFont="1" applyFill="1" applyBorder="1" applyAlignment="1" applyProtection="1">
      <alignment horizontal="left"/>
    </xf>
    <xf numFmtId="15" fontId="25" fillId="24" borderId="65" xfId="59" applyNumberFormat="1" applyFont="1" applyFill="1" applyBorder="1" applyAlignment="1" applyProtection="1">
      <alignment horizontal="left"/>
    </xf>
    <xf numFmtId="14" fontId="25" fillId="24" borderId="65" xfId="59" applyNumberFormat="1" applyFont="1" applyFill="1" applyBorder="1" applyAlignment="1" applyProtection="1">
      <alignment horizontal="left"/>
    </xf>
    <xf numFmtId="172" fontId="25" fillId="24" borderId="65" xfId="59" applyNumberFormat="1" applyFont="1" applyFill="1" applyBorder="1" applyAlignment="1" applyProtection="1">
      <alignment horizontal="left"/>
    </xf>
    <xf numFmtId="43" fontId="25" fillId="24" borderId="65" xfId="59" applyFont="1" applyFill="1" applyBorder="1" applyAlignment="1" applyProtection="1">
      <alignment horizontal="left"/>
    </xf>
    <xf numFmtId="14" fontId="0" fillId="0" borderId="10" xfId="0" applyNumberFormat="1" applyBorder="1" applyAlignment="1" applyProtection="1">
      <alignment horizontal="left"/>
      <protection locked="0"/>
    </xf>
    <xf numFmtId="0" fontId="0" fillId="0" borderId="0" xfId="0" applyAlignment="1" applyProtection="1">
      <alignment horizontal="left"/>
    </xf>
    <xf numFmtId="49" fontId="0" fillId="0" borderId="10" xfId="0" applyNumberFormat="1" applyBorder="1" applyAlignment="1" applyProtection="1">
      <alignment horizontal="left"/>
      <protection locked="0"/>
    </xf>
    <xf numFmtId="15" fontId="2" fillId="0" borderId="10" xfId="59" applyNumberFormat="1" applyFont="1" applyFill="1" applyBorder="1" applyAlignment="1" applyProtection="1">
      <alignment horizontal="left"/>
      <protection locked="0"/>
    </xf>
    <xf numFmtId="15" fontId="2" fillId="21" borderId="10" xfId="59" applyNumberFormat="1" applyFont="1" applyFill="1" applyBorder="1" applyAlignment="1" applyProtection="1">
      <alignment horizontal="left"/>
      <protection locked="0"/>
    </xf>
    <xf numFmtId="0" fontId="29" fillId="0" borderId="56" xfId="0" applyFont="1" applyFill="1" applyBorder="1" applyAlignment="1" applyProtection="1">
      <alignment horizontal="center" wrapText="1"/>
    </xf>
    <xf numFmtId="3" fontId="13" fillId="20" borderId="11" xfId="0" applyNumberFormat="1" applyFont="1" applyFill="1" applyBorder="1" applyAlignment="1">
      <alignment horizontal="right"/>
    </xf>
    <xf numFmtId="0" fontId="0" fillId="0" borderId="0" xfId="0" applyAlignment="1">
      <alignment horizontal="left"/>
    </xf>
    <xf numFmtId="0" fontId="33" fillId="27" borderId="10" xfId="0" applyFont="1" applyFill="1" applyBorder="1" applyAlignment="1">
      <alignment horizontal="center" vertical="center" wrapText="1"/>
    </xf>
    <xf numFmtId="164" fontId="33" fillId="19" borderId="111" xfId="0" applyNumberFormat="1" applyFont="1" applyFill="1" applyBorder="1" applyAlignment="1" applyProtection="1">
      <alignment horizontal="center"/>
    </xf>
    <xf numFmtId="164" fontId="15" fillId="19" borderId="78" xfId="0" applyNumberFormat="1" applyFont="1" applyFill="1" applyBorder="1" applyAlignment="1" applyProtection="1">
      <alignment horizontal="center"/>
    </xf>
    <xf numFmtId="3" fontId="68" fillId="29" borderId="10" xfId="0" applyNumberFormat="1" applyFont="1" applyFill="1" applyBorder="1" applyAlignment="1" applyProtection="1">
      <alignment vertical="center"/>
      <protection locked="0"/>
    </xf>
    <xf numFmtId="0" fontId="94" fillId="0" borderId="10" xfId="0" applyFont="1" applyFill="1" applyBorder="1" applyAlignment="1" applyProtection="1">
      <alignment horizontal="center" vertical="center"/>
    </xf>
    <xf numFmtId="0" fontId="0" fillId="0" borderId="112" xfId="0" applyBorder="1" applyProtection="1">
      <protection locked="0"/>
    </xf>
    <xf numFmtId="0" fontId="0" fillId="0" borderId="91" xfId="0" applyBorder="1" applyProtection="1">
      <protection locked="0"/>
    </xf>
    <xf numFmtId="0" fontId="0" fillId="0" borderId="107" xfId="0" applyBorder="1" applyProtection="1">
      <protection locked="0"/>
    </xf>
    <xf numFmtId="15" fontId="0" fillId="21" borderId="0" xfId="0" applyNumberFormat="1" applyFill="1" applyAlignment="1" applyProtection="1">
      <alignment horizontal="center" vertical="center"/>
      <protection locked="0"/>
    </xf>
    <xf numFmtId="1" fontId="0" fillId="0" borderId="10" xfId="0" applyNumberFormat="1" applyFill="1" applyBorder="1" applyAlignment="1" applyProtection="1">
      <alignment horizontal="center"/>
    </xf>
    <xf numFmtId="2" fontId="0" fillId="0" borderId="10" xfId="0" applyNumberFormat="1" applyFill="1" applyBorder="1" applyProtection="1"/>
    <xf numFmtId="9" fontId="68" fillId="22" borderId="10" xfId="0" applyNumberFormat="1" applyFont="1" applyFill="1" applyBorder="1" applyAlignment="1" applyProtection="1">
      <alignment vertical="center"/>
      <protection locked="0"/>
    </xf>
    <xf numFmtId="1" fontId="0" fillId="24" borderId="10" xfId="0" applyNumberFormat="1" applyFill="1" applyBorder="1" applyProtection="1">
      <protection locked="0"/>
    </xf>
    <xf numFmtId="1" fontId="0" fillId="0" borderId="10" xfId="0" applyNumberFormat="1" applyFill="1" applyBorder="1" applyProtection="1"/>
    <xf numFmtId="0" fontId="16" fillId="20" borderId="29" xfId="0" applyFont="1" applyFill="1" applyBorder="1" applyAlignment="1" applyProtection="1"/>
    <xf numFmtId="1" fontId="16" fillId="20" borderId="10" xfId="0" applyNumberFormat="1" applyFont="1" applyFill="1" applyBorder="1" applyAlignment="1" applyProtection="1">
      <alignment horizontal="center"/>
    </xf>
    <xf numFmtId="0" fontId="16" fillId="0" borderId="10" xfId="0" applyFont="1" applyBorder="1" applyAlignment="1" applyProtection="1">
      <alignment horizontal="center"/>
    </xf>
    <xf numFmtId="0" fontId="16" fillId="20" borderId="113" xfId="0" applyFont="1" applyFill="1" applyBorder="1" applyAlignment="1" applyProtection="1"/>
    <xf numFmtId="1" fontId="16" fillId="20" borderId="67" xfId="0" applyNumberFormat="1" applyFont="1" applyFill="1" applyBorder="1" applyAlignment="1" applyProtection="1">
      <alignment horizontal="center"/>
    </xf>
    <xf numFmtId="0" fontId="16" fillId="0" borderId="67" xfId="0" applyFont="1" applyBorder="1" applyAlignment="1" applyProtection="1">
      <alignment horizontal="center"/>
    </xf>
    <xf numFmtId="168" fontId="16" fillId="0" borderId="93" xfId="0" applyNumberFormat="1" applyFont="1" applyFill="1" applyBorder="1" applyAlignment="1" applyProtection="1">
      <alignment horizontal="center"/>
    </xf>
    <xf numFmtId="3" fontId="131" fillId="0" borderId="10" xfId="0" applyNumberFormat="1" applyFont="1" applyBorder="1" applyAlignment="1" applyProtection="1">
      <alignment vertical="center" wrapText="1"/>
    </xf>
    <xf numFmtId="0" fontId="94" fillId="0" borderId="112" xfId="0" applyFont="1" applyFill="1" applyBorder="1" applyAlignment="1" applyProtection="1">
      <alignment horizontal="center" vertical="center"/>
    </xf>
    <xf numFmtId="0" fontId="0" fillId="0" borderId="107" xfId="0" applyFill="1" applyBorder="1" applyProtection="1">
      <protection locked="0"/>
    </xf>
    <xf numFmtId="0" fontId="132" fillId="0" borderId="0" xfId="0" applyFont="1" applyFill="1" applyBorder="1" applyProtection="1">
      <protection locked="0"/>
    </xf>
    <xf numFmtId="15" fontId="132" fillId="0" borderId="0" xfId="0" applyNumberFormat="1" applyFont="1" applyFill="1" applyBorder="1" applyAlignment="1" applyProtection="1">
      <alignment horizontal="left"/>
      <protection locked="0"/>
    </xf>
    <xf numFmtId="49" fontId="15" fillId="0" borderId="0" xfId="0" applyNumberFormat="1" applyFont="1"/>
    <xf numFmtId="0" fontId="81" fillId="0" borderId="10" xfId="0" applyFont="1" applyBorder="1" applyAlignment="1" applyProtection="1">
      <alignment horizontal="center" vertical="top" wrapText="1"/>
      <protection locked="0"/>
    </xf>
    <xf numFmtId="0" fontId="81" fillId="0" borderId="10" xfId="0" applyFont="1" applyBorder="1" applyAlignment="1" applyProtection="1">
      <alignment vertical="top" wrapText="1"/>
      <protection locked="0"/>
    </xf>
    <xf numFmtId="0" fontId="0" fillId="0" borderId="0" xfId="0" applyProtection="1">
      <protection locked="0"/>
    </xf>
    <xf numFmtId="0" fontId="127" fillId="0" borderId="0" xfId="0" applyFont="1" applyAlignment="1">
      <alignment horizontal="left"/>
    </xf>
    <xf numFmtId="43" fontId="133" fillId="0" borderId="0" xfId="62" applyFont="1" applyFill="1" applyBorder="1" applyAlignment="1" applyProtection="1">
      <alignment horizontal="right" vertical="center"/>
    </xf>
    <xf numFmtId="15" fontId="133" fillId="0" borderId="0" xfId="62" applyNumberFormat="1" applyFont="1" applyFill="1" applyBorder="1" applyAlignment="1" applyProtection="1">
      <alignment horizontal="left" vertical="center"/>
    </xf>
    <xf numFmtId="0" fontId="133" fillId="0" borderId="0" xfId="0" applyFont="1" applyBorder="1" applyAlignment="1" applyProtection="1">
      <alignment horizontal="right"/>
    </xf>
    <xf numFmtId="15" fontId="133" fillId="0" borderId="0" xfId="0" applyNumberFormat="1" applyFont="1" applyBorder="1" applyAlignment="1" applyProtection="1">
      <alignment horizontal="left"/>
    </xf>
    <xf numFmtId="0" fontId="133" fillId="0" borderId="0" xfId="0" applyFont="1" applyAlignment="1" applyProtection="1">
      <alignment horizontal="right"/>
    </xf>
    <xf numFmtId="15" fontId="133" fillId="0" borderId="0" xfId="0" applyNumberFormat="1" applyFont="1" applyAlignment="1" applyProtection="1">
      <alignment horizontal="left"/>
    </xf>
    <xf numFmtId="3" fontId="102" fillId="0" borderId="10" xfId="0" applyNumberFormat="1" applyFont="1" applyBorder="1" applyAlignment="1" applyProtection="1">
      <alignment vertical="center" wrapText="1"/>
    </xf>
    <xf numFmtId="43" fontId="102" fillId="0" borderId="0" xfId="0" applyNumberFormat="1" applyFont="1" applyAlignment="1" applyProtection="1">
      <alignment horizontal="right"/>
    </xf>
    <xf numFmtId="43" fontId="83" fillId="0" borderId="0" xfId="0" applyNumberFormat="1" applyFont="1" applyAlignment="1" applyProtection="1">
      <alignment horizontal="center"/>
    </xf>
    <xf numFmtId="43" fontId="102" fillId="0" borderId="0" xfId="0" applyNumberFormat="1" applyFont="1" applyProtection="1"/>
    <xf numFmtId="166" fontId="102" fillId="0" borderId="0" xfId="28" applyNumberFormat="1" applyFont="1" applyAlignment="1" applyProtection="1">
      <alignment horizontal="left"/>
    </xf>
    <xf numFmtId="0" fontId="40" fillId="0" borderId="0" xfId="0" applyFont="1" applyFill="1" applyBorder="1" applyAlignment="1" applyProtection="1">
      <alignment horizontal="center" vertical="center"/>
    </xf>
    <xf numFmtId="3" fontId="0" fillId="0" borderId="0" xfId="0" applyNumberFormat="1" applyBorder="1" applyProtection="1"/>
    <xf numFmtId="0" fontId="81" fillId="0" borderId="10" xfId="0" applyFont="1" applyBorder="1" applyAlignment="1" applyProtection="1">
      <alignment horizontal="center" vertical="center" wrapText="1"/>
      <protection locked="0"/>
    </xf>
    <xf numFmtId="0" fontId="0" fillId="0" borderId="0" xfId="0" applyAlignment="1">
      <alignment vertical="center"/>
    </xf>
    <xf numFmtId="3" fontId="0" fillId="0" borderId="0" xfId="0" applyNumberFormat="1" applyFill="1" applyBorder="1" applyAlignment="1">
      <alignment horizontal="centerContinuous"/>
    </xf>
    <xf numFmtId="0" fontId="137" fillId="0" borderId="0" xfId="0" applyFont="1" applyProtection="1"/>
    <xf numFmtId="0" fontId="101" fillId="0" borderId="0" xfId="0" applyFont="1" applyAlignment="1" applyProtection="1">
      <alignment horizontal="right"/>
      <protection locked="0"/>
    </xf>
    <xf numFmtId="0" fontId="137" fillId="0" borderId="0" xfId="0" applyFont="1" applyAlignment="1" applyProtection="1">
      <alignment horizontal="center"/>
    </xf>
    <xf numFmtId="0" fontId="137" fillId="0" borderId="0" xfId="0" applyFont="1" applyFill="1" applyAlignment="1">
      <alignment horizontal="center"/>
    </xf>
    <xf numFmtId="0" fontId="137" fillId="0" borderId="0" xfId="0" applyFont="1" applyFill="1"/>
    <xf numFmtId="0" fontId="137" fillId="0" borderId="0" xfId="0" applyFont="1"/>
    <xf numFmtId="49" fontId="15" fillId="0" borderId="0" xfId="0" applyNumberFormat="1" applyFont="1" applyAlignment="1">
      <alignment horizontal="left"/>
    </xf>
    <xf numFmtId="0" fontId="33" fillId="27" borderId="10" xfId="0" applyFont="1" applyFill="1" applyBorder="1" applyAlignment="1">
      <alignment horizontal="left" vertical="center" wrapText="1"/>
    </xf>
    <xf numFmtId="15" fontId="81" fillId="0" borderId="10" xfId="0" applyNumberFormat="1" applyFont="1" applyBorder="1" applyAlignment="1" applyProtection="1">
      <alignment horizontal="left" vertical="center" wrapText="1"/>
      <protection locked="0"/>
    </xf>
    <xf numFmtId="15" fontId="0" fillId="0" borderId="10" xfId="0" applyNumberFormat="1" applyBorder="1" applyAlignment="1" applyProtection="1">
      <alignment horizontal="left" vertical="top"/>
      <protection locked="0"/>
    </xf>
    <xf numFmtId="0" fontId="0" fillId="0" borderId="0" xfId="0" applyAlignment="1" applyProtection="1">
      <alignment horizontal="left"/>
      <protection locked="0"/>
    </xf>
    <xf numFmtId="0" fontId="81" fillId="0" borderId="10" xfId="0" applyFont="1" applyBorder="1" applyAlignment="1" applyProtection="1">
      <alignment vertical="center" wrapText="1"/>
      <protection locked="0"/>
    </xf>
    <xf numFmtId="15" fontId="0" fillId="39" borderId="10" xfId="0" applyNumberFormat="1" applyFill="1" applyBorder="1" applyAlignment="1" applyProtection="1">
      <alignment horizontal="left" vertical="top"/>
      <protection locked="0"/>
    </xf>
    <xf numFmtId="0" fontId="81" fillId="39" borderId="10" xfId="0" applyFont="1" applyFill="1" applyBorder="1" applyAlignment="1" applyProtection="1">
      <alignment horizontal="center" vertical="top" wrapText="1"/>
      <protection locked="0"/>
    </xf>
    <xf numFmtId="0" fontId="81" fillId="39" borderId="10" xfId="0" applyFont="1" applyFill="1" applyBorder="1" applyAlignment="1" applyProtection="1">
      <alignment vertical="top" wrapText="1"/>
      <protection locked="0"/>
    </xf>
    <xf numFmtId="3" fontId="137" fillId="0" borderId="10" xfId="0" applyNumberFormat="1" applyFont="1" applyBorder="1" applyAlignment="1" applyProtection="1">
      <alignment horizontal="right" wrapText="1"/>
    </xf>
    <xf numFmtId="1" fontId="29" fillId="0" borderId="10" xfId="0" applyNumberFormat="1" applyFont="1" applyBorder="1" applyAlignment="1" applyProtection="1">
      <alignment vertical="center" wrapText="1"/>
    </xf>
    <xf numFmtId="1" fontId="33" fillId="25" borderId="55" xfId="0" applyNumberFormat="1" applyFont="1" applyFill="1" applyBorder="1" applyAlignment="1" applyProtection="1">
      <alignment horizontal="centerContinuous"/>
    </xf>
    <xf numFmtId="15" fontId="1" fillId="0" borderId="10" xfId="59" applyNumberFormat="1" applyFont="1" applyFill="1" applyBorder="1" applyAlignment="1" applyProtection="1">
      <alignment horizontal="left"/>
      <protection locked="0"/>
    </xf>
    <xf numFmtId="1" fontId="68" fillId="22" borderId="10" xfId="0" applyNumberFormat="1" applyFont="1" applyFill="1" applyBorder="1" applyAlignment="1" applyProtection="1">
      <alignment vertical="center"/>
      <protection locked="0"/>
    </xf>
    <xf numFmtId="43" fontId="0" fillId="0" borderId="0" xfId="28" applyFont="1" applyProtection="1"/>
    <xf numFmtId="166" fontId="68" fillId="22" borderId="10" xfId="28" applyNumberFormat="1" applyFont="1" applyFill="1" applyBorder="1" applyAlignment="1" applyProtection="1">
      <alignment vertical="center"/>
      <protection locked="0"/>
    </xf>
    <xf numFmtId="0" fontId="97" fillId="0" borderId="0" xfId="0" applyFont="1" applyAlignment="1" applyProtection="1">
      <alignment horizontal="right"/>
    </xf>
    <xf numFmtId="43" fontId="1" fillId="25" borderId="79" xfId="28" applyFont="1" applyFill="1" applyBorder="1" applyAlignment="1" applyProtection="1">
      <protection locked="0"/>
    </xf>
    <xf numFmtId="43" fontId="1" fillId="25" borderId="84" xfId="28" applyFont="1" applyFill="1" applyBorder="1" applyProtection="1">
      <protection locked="0"/>
    </xf>
    <xf numFmtId="43" fontId="1" fillId="25" borderId="79" xfId="28" applyFont="1" applyFill="1" applyBorder="1" applyProtection="1">
      <protection locked="0"/>
    </xf>
    <xf numFmtId="43" fontId="2" fillId="25" borderId="79" xfId="28" applyFont="1" applyFill="1" applyBorder="1" applyAlignment="1" applyProtection="1">
      <protection locked="0"/>
    </xf>
    <xf numFmtId="43" fontId="2" fillId="25" borderId="84" xfId="28" applyFont="1" applyFill="1" applyBorder="1" applyProtection="1">
      <protection locked="0"/>
    </xf>
    <xf numFmtId="43" fontId="0" fillId="0" borderId="86" xfId="28" applyFont="1" applyBorder="1" applyProtection="1"/>
    <xf numFmtId="43" fontId="22" fillId="25" borderId="10" xfId="28" applyFont="1" applyFill="1" applyBorder="1" applyAlignment="1" applyProtection="1">
      <protection locked="0"/>
    </xf>
    <xf numFmtId="43" fontId="7" fillId="0" borderId="75" xfId="28" applyFont="1" applyFill="1" applyBorder="1" applyAlignment="1" applyProtection="1"/>
    <xf numFmtId="0" fontId="0" fillId="0" borderId="0" xfId="0" applyAlignment="1" applyProtection="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43" fontId="18" fillId="30" borderId="0" xfId="40" applyFont="1" applyFill="1" applyBorder="1" applyAlignment="1">
      <alignment horizontal="center" vertical="center"/>
    </xf>
    <xf numFmtId="43" fontId="34" fillId="0" borderId="0" xfId="0" applyNumberFormat="1" applyFont="1" applyAlignment="1">
      <alignment horizontal="center"/>
    </xf>
    <xf numFmtId="0" fontId="0" fillId="0" borderId="0" xfId="0" applyAlignment="1"/>
    <xf numFmtId="0" fontId="118" fillId="0" borderId="0" xfId="0" applyFont="1" applyAlignment="1">
      <alignment horizontal="center"/>
    </xf>
    <xf numFmtId="0" fontId="119" fillId="0" borderId="0" xfId="0" applyFont="1" applyAlignment="1">
      <alignment horizontal="center"/>
    </xf>
    <xf numFmtId="0" fontId="82" fillId="27" borderId="29" xfId="0" applyFont="1" applyFill="1" applyBorder="1" applyAlignment="1">
      <alignment vertical="center" wrapText="1"/>
    </xf>
    <xf numFmtId="0" fontId="82" fillId="27" borderId="109" xfId="0" applyFont="1" applyFill="1" applyBorder="1" applyAlignment="1">
      <alignment vertical="center" wrapText="1"/>
    </xf>
    <xf numFmtId="0" fontId="82" fillId="27" borderId="110" xfId="0" applyFont="1" applyFill="1" applyBorder="1" applyAlignment="1">
      <alignment vertical="center" wrapText="1"/>
    </xf>
    <xf numFmtId="0" fontId="81" fillId="0" borderId="29" xfId="0" applyFont="1" applyBorder="1" applyAlignment="1" applyProtection="1">
      <alignment horizontal="left" vertical="center" wrapText="1"/>
      <protection locked="0"/>
    </xf>
    <xf numFmtId="0" fontId="82" fillId="0" borderId="109" xfId="0" applyFont="1" applyBorder="1" applyAlignment="1" applyProtection="1">
      <alignment horizontal="left" vertical="center" wrapText="1"/>
      <protection locked="0"/>
    </xf>
    <xf numFmtId="0" fontId="82" fillId="0" borderId="110" xfId="0" applyFont="1" applyBorder="1" applyAlignment="1" applyProtection="1">
      <alignment horizontal="left" vertical="center" wrapText="1"/>
      <protection locked="0"/>
    </xf>
    <xf numFmtId="0" fontId="81" fillId="0" borderId="109" xfId="0" applyFont="1" applyBorder="1" applyAlignment="1" applyProtection="1">
      <alignment horizontal="left" vertical="center" wrapText="1"/>
      <protection locked="0"/>
    </xf>
    <xf numFmtId="0" fontId="81" fillId="0" borderId="110" xfId="0" applyFont="1" applyBorder="1" applyAlignment="1" applyProtection="1">
      <alignment horizontal="left" vertical="center" wrapText="1"/>
      <protection locked="0"/>
    </xf>
    <xf numFmtId="0" fontId="82" fillId="0" borderId="29" xfId="0" applyFont="1" applyBorder="1" applyAlignment="1" applyProtection="1">
      <alignment vertical="center" wrapText="1"/>
      <protection locked="0"/>
    </xf>
    <xf numFmtId="0" fontId="82" fillId="0" borderId="109" xfId="0" applyFont="1" applyBorder="1" applyAlignment="1" applyProtection="1">
      <alignment vertical="center" wrapText="1"/>
      <protection locked="0"/>
    </xf>
    <xf numFmtId="0" fontId="82" fillId="0" borderId="110" xfId="0" applyFont="1" applyBorder="1" applyAlignment="1" applyProtection="1">
      <alignment vertical="center" wrapText="1"/>
      <protection locked="0"/>
    </xf>
    <xf numFmtId="43" fontId="82" fillId="0" borderId="29" xfId="0" applyNumberFormat="1" applyFont="1" applyBorder="1" applyAlignment="1">
      <alignment horizontal="left" vertical="center" wrapText="1"/>
    </xf>
    <xf numFmtId="0" fontId="82" fillId="0" borderId="109" xfId="0" applyFont="1" applyBorder="1" applyAlignment="1">
      <alignment horizontal="left" vertical="center" wrapText="1"/>
    </xf>
    <xf numFmtId="0" fontId="82" fillId="0" borderId="110" xfId="0" applyFont="1" applyBorder="1" applyAlignment="1">
      <alignment horizontal="left" vertical="center" wrapText="1"/>
    </xf>
    <xf numFmtId="0" fontId="82" fillId="0" borderId="29" xfId="0" applyFont="1" applyBorder="1" applyAlignment="1">
      <alignment horizontal="left" vertical="center" wrapText="1"/>
    </xf>
    <xf numFmtId="0" fontId="81" fillId="0" borderId="29" xfId="0" applyFont="1" applyBorder="1" applyAlignment="1">
      <alignment horizontal="left" vertical="center" wrapText="1"/>
    </xf>
    <xf numFmtId="0" fontId="3" fillId="0" borderId="66" xfId="0" applyFont="1" applyBorder="1" applyAlignment="1">
      <alignment horizontal="left" vertical="center" wrapText="1"/>
    </xf>
    <xf numFmtId="0" fontId="3" fillId="0" borderId="104" xfId="0" applyFont="1" applyBorder="1" applyAlignment="1">
      <alignment horizontal="left" vertical="center" wrapText="1"/>
    </xf>
    <xf numFmtId="0" fontId="3" fillId="0" borderId="106" xfId="0" applyFont="1" applyBorder="1" applyAlignment="1">
      <alignment horizontal="left" vertical="center" wrapText="1"/>
    </xf>
    <xf numFmtId="0" fontId="81" fillId="0" borderId="109" xfId="0" applyFont="1" applyBorder="1" applyAlignment="1">
      <alignment horizontal="left" vertical="center" wrapText="1"/>
    </xf>
    <xf numFmtId="0" fontId="81" fillId="0" borderId="110" xfId="0" applyFont="1" applyBorder="1" applyAlignment="1">
      <alignment horizontal="left" vertical="center" wrapText="1"/>
    </xf>
    <xf numFmtId="0" fontId="0" fillId="0" borderId="29" xfId="0" applyBorder="1" applyAlignment="1">
      <alignment vertical="center" wrapText="1"/>
    </xf>
    <xf numFmtId="0" fontId="0" fillId="0" borderId="109" xfId="0" applyBorder="1" applyAlignment="1">
      <alignment vertical="center" wrapText="1"/>
    </xf>
    <xf numFmtId="0" fontId="0" fillId="0" borderId="110" xfId="0" applyBorder="1" applyAlignment="1">
      <alignment vertical="center" wrapText="1"/>
    </xf>
    <xf numFmtId="0" fontId="82" fillId="0" borderId="66" xfId="0" applyFont="1" applyBorder="1" applyAlignment="1">
      <alignment horizontal="left" vertical="center" wrapText="1"/>
    </xf>
    <xf numFmtId="0" fontId="82" fillId="0" borderId="104" xfId="0" applyFont="1" applyBorder="1" applyAlignment="1">
      <alignment horizontal="left" vertical="center" wrapText="1"/>
    </xf>
    <xf numFmtId="0" fontId="82" fillId="0" borderId="106" xfId="0" applyFont="1" applyBorder="1" applyAlignment="1">
      <alignment horizontal="left" vertical="center" wrapText="1"/>
    </xf>
    <xf numFmtId="43" fontId="82" fillId="0" borderId="114" xfId="0" applyNumberFormat="1" applyFont="1" applyBorder="1" applyAlignment="1">
      <alignment horizontal="left" vertical="center" wrapText="1"/>
    </xf>
    <xf numFmtId="0" fontId="82" fillId="0" borderId="115" xfId="0" applyFont="1" applyBorder="1" applyAlignment="1">
      <alignment horizontal="left" vertical="center" wrapText="1"/>
    </xf>
    <xf numFmtId="0" fontId="82" fillId="0" borderId="116" xfId="0" applyFont="1" applyBorder="1" applyAlignment="1">
      <alignment horizontal="left" vertical="center" wrapText="1"/>
    </xf>
    <xf numFmtId="0" fontId="81" fillId="0" borderId="114" xfId="0" applyFont="1" applyBorder="1" applyAlignment="1">
      <alignment horizontal="left" wrapText="1"/>
    </xf>
    <xf numFmtId="0" fontId="81" fillId="0" borderId="115" xfId="0" applyFont="1" applyBorder="1" applyAlignment="1">
      <alignment horizontal="left" wrapText="1"/>
    </xf>
    <xf numFmtId="0" fontId="81" fillId="0" borderId="116" xfId="0" applyFont="1" applyBorder="1" applyAlignment="1">
      <alignment horizontal="left" wrapText="1"/>
    </xf>
    <xf numFmtId="0" fontId="81" fillId="0" borderId="29" xfId="0" applyFont="1" applyBorder="1" applyAlignment="1" applyProtection="1">
      <alignment horizontal="justify" vertical="center" wrapText="1"/>
      <protection locked="0"/>
    </xf>
    <xf numFmtId="0" fontId="82" fillId="0" borderId="109" xfId="0" applyFont="1" applyBorder="1" applyAlignment="1" applyProtection="1">
      <alignment horizontal="justify" vertical="center" wrapText="1"/>
      <protection locked="0"/>
    </xf>
    <xf numFmtId="0" fontId="82" fillId="0" borderId="110" xfId="0" applyFont="1" applyBorder="1" applyAlignment="1" applyProtection="1">
      <alignment horizontal="justify" vertical="center" wrapText="1"/>
      <protection locked="0"/>
    </xf>
    <xf numFmtId="0" fontId="29" fillId="0" borderId="29" xfId="0" applyFont="1" applyBorder="1" applyAlignment="1">
      <alignment horizontal="center" vertical="center" wrapText="1"/>
    </xf>
    <xf numFmtId="0" fontId="29" fillId="0" borderId="109" xfId="0" applyFont="1" applyBorder="1" applyAlignment="1">
      <alignment horizontal="center" vertical="center" wrapText="1"/>
    </xf>
    <xf numFmtId="0" fontId="29" fillId="0" borderId="110" xfId="0" applyFont="1" applyBorder="1" applyAlignment="1">
      <alignment horizontal="center" vertical="center" wrapText="1"/>
    </xf>
    <xf numFmtId="0" fontId="87" fillId="0" borderId="0" xfId="0" applyFont="1" applyAlignment="1">
      <alignment horizontal="left"/>
    </xf>
    <xf numFmtId="0" fontId="37" fillId="27" borderId="29" xfId="0" applyFont="1" applyFill="1" applyBorder="1" applyAlignment="1">
      <alignment horizontal="center" vertical="center" wrapText="1"/>
    </xf>
    <xf numFmtId="0" fontId="37" fillId="27" borderId="109" xfId="0" applyFont="1" applyFill="1" applyBorder="1" applyAlignment="1">
      <alignment horizontal="center" vertical="center"/>
    </xf>
    <xf numFmtId="0" fontId="37" fillId="27" borderId="110" xfId="0" applyFont="1" applyFill="1" applyBorder="1" applyAlignment="1">
      <alignment horizontal="center" vertical="center"/>
    </xf>
    <xf numFmtId="0" fontId="33" fillId="27" borderId="29" xfId="0" applyFont="1" applyFill="1" applyBorder="1" applyAlignment="1">
      <alignment horizontal="center" vertical="center"/>
    </xf>
    <xf numFmtId="0" fontId="37" fillId="27" borderId="29" xfId="0" applyFont="1" applyFill="1" applyBorder="1" applyAlignment="1">
      <alignment horizontal="center" vertical="center"/>
    </xf>
    <xf numFmtId="0" fontId="33" fillId="0" borderId="29" xfId="0" applyFont="1" applyBorder="1" applyAlignment="1">
      <alignment horizontal="center" vertical="center" wrapText="1"/>
    </xf>
    <xf numFmtId="0" fontId="33" fillId="0" borderId="109" xfId="0" applyFont="1" applyBorder="1" applyAlignment="1">
      <alignment horizontal="center" vertical="center" wrapText="1"/>
    </xf>
    <xf numFmtId="0" fontId="33" fillId="0" borderId="110" xfId="0" applyFont="1" applyBorder="1" applyAlignment="1">
      <alignment horizontal="center" vertical="center" wrapText="1"/>
    </xf>
    <xf numFmtId="0" fontId="37" fillId="27" borderId="29" xfId="0" applyFont="1" applyFill="1" applyBorder="1" applyAlignment="1">
      <alignment horizontal="center"/>
    </xf>
    <xf numFmtId="0" fontId="37" fillId="27" borderId="109" xfId="0" applyFont="1" applyFill="1" applyBorder="1" applyAlignment="1">
      <alignment horizontal="center"/>
    </xf>
    <xf numFmtId="0" fontId="37" fillId="27" borderId="110" xfId="0" applyFont="1" applyFill="1" applyBorder="1" applyAlignment="1">
      <alignment horizontal="center"/>
    </xf>
    <xf numFmtId="0" fontId="78" fillId="0" borderId="29" xfId="0" applyFont="1" applyFill="1" applyBorder="1" applyAlignment="1" applyProtection="1">
      <alignment vertical="center" wrapText="1"/>
      <protection locked="0"/>
    </xf>
    <xf numFmtId="0" fontId="78" fillId="0" borderId="109" xfId="0" applyFont="1" applyFill="1" applyBorder="1" applyAlignment="1" applyProtection="1">
      <alignment vertical="center" wrapText="1"/>
      <protection locked="0"/>
    </xf>
    <xf numFmtId="0" fontId="78" fillId="0" borderId="110" xfId="0" applyFont="1" applyFill="1" applyBorder="1" applyAlignment="1" applyProtection="1">
      <alignment vertical="center" wrapText="1"/>
      <protection locked="0"/>
    </xf>
    <xf numFmtId="0" fontId="81" fillId="0" borderId="29" xfId="0" applyNumberFormat="1" applyFont="1" applyBorder="1" applyAlignment="1" applyProtection="1">
      <alignment horizontal="left" vertical="center" wrapText="1"/>
      <protection locked="0"/>
    </xf>
    <xf numFmtId="0" fontId="81" fillId="0" borderId="109" xfId="0" applyNumberFormat="1" applyFont="1" applyBorder="1" applyAlignment="1" applyProtection="1">
      <alignment horizontal="left" vertical="center" wrapText="1"/>
      <protection locked="0"/>
    </xf>
    <xf numFmtId="0" fontId="81" fillId="0" borderId="110" xfId="0" applyNumberFormat="1" applyFont="1" applyBorder="1" applyAlignment="1" applyProtection="1">
      <alignment horizontal="left" vertical="center" wrapText="1"/>
      <protection locked="0"/>
    </xf>
    <xf numFmtId="0" fontId="82" fillId="0" borderId="114" xfId="0" applyFont="1" applyBorder="1" applyAlignment="1">
      <alignment horizontal="left" vertical="center" wrapText="1"/>
    </xf>
    <xf numFmtId="0" fontId="81" fillId="0" borderId="114" xfId="0" applyFont="1" applyBorder="1" applyAlignment="1">
      <alignment horizontal="left" vertical="center" wrapText="1"/>
    </xf>
    <xf numFmtId="0" fontId="81" fillId="0" borderId="115" xfId="0" applyFont="1" applyBorder="1" applyAlignment="1">
      <alignment horizontal="left" vertical="center" wrapText="1"/>
    </xf>
    <xf numFmtId="0" fontId="81" fillId="0" borderId="116" xfId="0" applyFont="1" applyBorder="1" applyAlignment="1">
      <alignment horizontal="left" vertical="center" wrapText="1"/>
    </xf>
    <xf numFmtId="0" fontId="81" fillId="0" borderId="66" xfId="0" applyFont="1" applyBorder="1" applyAlignment="1">
      <alignment horizontal="left" vertical="center" wrapText="1"/>
    </xf>
    <xf numFmtId="0" fontId="81" fillId="0" borderId="104" xfId="0" applyFont="1" applyBorder="1" applyAlignment="1">
      <alignment horizontal="left" vertical="center" wrapText="1"/>
    </xf>
    <xf numFmtId="0" fontId="81" fillId="0" borderId="106" xfId="0" applyFont="1" applyBorder="1" applyAlignment="1">
      <alignment horizontal="left" vertical="center" wrapText="1"/>
    </xf>
    <xf numFmtId="0" fontId="3" fillId="0" borderId="29" xfId="0" applyFont="1" applyBorder="1" applyAlignment="1">
      <alignment horizontal="left" vertical="center" wrapTex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122" fillId="0" borderId="109" xfId="0" applyFont="1" applyBorder="1" applyAlignment="1">
      <alignment horizontal="left" vertical="center" wrapText="1"/>
    </xf>
    <xf numFmtId="0" fontId="122" fillId="0" borderId="110" xfId="0" applyFont="1" applyBorder="1" applyAlignment="1">
      <alignment horizontal="left" vertical="center" wrapText="1"/>
    </xf>
    <xf numFmtId="43" fontId="18" fillId="31" borderId="0" xfId="48" applyFont="1" applyFill="1" applyAlignment="1" applyProtection="1">
      <alignment horizontal="center" vertical="center"/>
    </xf>
    <xf numFmtId="0" fontId="64" fillId="25" borderId="29" xfId="0" applyFont="1" applyFill="1" applyBorder="1" applyAlignment="1">
      <alignment horizontal="center"/>
    </xf>
    <xf numFmtId="0" fontId="64" fillId="25" borderId="109" xfId="0" applyFont="1" applyFill="1" applyBorder="1" applyAlignment="1">
      <alignment horizontal="center"/>
    </xf>
    <xf numFmtId="0" fontId="64" fillId="25" borderId="110" xfId="0" applyFont="1" applyFill="1" applyBorder="1" applyAlignment="1">
      <alignment horizontal="center"/>
    </xf>
    <xf numFmtId="9" fontId="82" fillId="0" borderId="29" xfId="57" applyFont="1" applyBorder="1" applyAlignment="1">
      <alignment horizontal="left" vertical="center" wrapText="1"/>
    </xf>
    <xf numFmtId="9" fontId="82" fillId="0" borderId="109" xfId="57" applyFont="1" applyBorder="1" applyAlignment="1">
      <alignment horizontal="left" vertical="center" wrapText="1"/>
    </xf>
    <xf numFmtId="9" fontId="82" fillId="0" borderId="110" xfId="57" applyFont="1" applyBorder="1" applyAlignment="1">
      <alignment horizontal="left" vertical="center" wrapText="1"/>
    </xf>
    <xf numFmtId="0" fontId="82" fillId="0" borderId="109" xfId="0" applyFont="1" applyBorder="1" applyAlignment="1">
      <alignment horizontal="left" vertical="center"/>
    </xf>
    <xf numFmtId="0" fontId="82" fillId="0" borderId="110" xfId="0" applyFont="1" applyBorder="1" applyAlignment="1">
      <alignment horizontal="left" vertical="center"/>
    </xf>
    <xf numFmtId="0" fontId="82" fillId="24" borderId="29" xfId="0" applyFont="1" applyFill="1" applyBorder="1" applyAlignment="1">
      <alignment horizontal="center"/>
    </xf>
    <xf numFmtId="0" fontId="82" fillId="24" borderId="109" xfId="0" applyFont="1" applyFill="1" applyBorder="1" applyAlignment="1">
      <alignment horizontal="center"/>
    </xf>
    <xf numFmtId="0" fontId="82" fillId="24" borderId="110" xfId="0" applyFont="1" applyFill="1" applyBorder="1" applyAlignment="1">
      <alignment horizontal="center"/>
    </xf>
    <xf numFmtId="0" fontId="29" fillId="0" borderId="0" xfId="0" applyFont="1" applyBorder="1" applyAlignment="1">
      <alignment horizontal="left"/>
    </xf>
    <xf numFmtId="0" fontId="29" fillId="0" borderId="0" xfId="0" applyFont="1" applyBorder="1" applyAlignment="1">
      <alignment horizontal="left" wrapText="1"/>
    </xf>
    <xf numFmtId="0" fontId="64" fillId="0" borderId="0" xfId="0" applyFont="1" applyBorder="1" applyAlignment="1">
      <alignment horizontal="left" wrapText="1"/>
    </xf>
    <xf numFmtId="0" fontId="82" fillId="0" borderId="115" xfId="0" applyFont="1" applyBorder="1" applyAlignment="1">
      <alignment horizontal="left" vertical="center"/>
    </xf>
    <xf numFmtId="0" fontId="82" fillId="0" borderId="116" xfId="0" applyFont="1" applyBorder="1" applyAlignment="1">
      <alignment horizontal="left" vertical="center"/>
    </xf>
    <xf numFmtId="0" fontId="29" fillId="0" borderId="107" xfId="0" applyFont="1" applyBorder="1" applyAlignment="1">
      <alignment horizontal="left"/>
    </xf>
    <xf numFmtId="0" fontId="29" fillId="0" borderId="107" xfId="0" applyFont="1" applyBorder="1" applyAlignment="1">
      <alignment horizontal="left" wrapText="1"/>
    </xf>
    <xf numFmtId="0" fontId="82" fillId="0" borderId="107" xfId="0" applyFont="1" applyBorder="1" applyAlignment="1">
      <alignment horizontal="left" wrapText="1"/>
    </xf>
    <xf numFmtId="0" fontId="81" fillId="0" borderId="107" xfId="0" applyFont="1" applyBorder="1" applyAlignment="1">
      <alignment horizontal="left" wrapText="1"/>
    </xf>
    <xf numFmtId="0" fontId="82" fillId="0" borderId="66" xfId="0" applyNumberFormat="1" applyFont="1" applyBorder="1" applyAlignment="1">
      <alignment horizontal="left" vertical="center" wrapText="1"/>
    </xf>
    <xf numFmtId="0" fontId="81" fillId="0" borderId="104" xfId="0" applyNumberFormat="1" applyFont="1" applyBorder="1" applyAlignment="1">
      <alignment horizontal="left" vertical="center" wrapText="1"/>
    </xf>
    <xf numFmtId="0" fontId="81" fillId="0" borderId="106" xfId="0" applyNumberFormat="1" applyFont="1" applyBorder="1" applyAlignment="1">
      <alignment horizontal="left" vertical="center" wrapText="1"/>
    </xf>
    <xf numFmtId="0" fontId="0" fillId="19" borderId="144" xfId="0" applyFill="1" applyBorder="1" applyAlignment="1" applyProtection="1">
      <alignment horizontal="center" vertical="center" textRotation="90"/>
    </xf>
    <xf numFmtId="43" fontId="15" fillId="0" borderId="145" xfId="0" applyNumberFormat="1" applyFont="1" applyBorder="1" applyAlignment="1" applyProtection="1">
      <alignment horizontal="center"/>
    </xf>
    <xf numFmtId="0" fontId="15" fillId="0" borderId="146" xfId="0" applyFont="1" applyBorder="1" applyAlignment="1" applyProtection="1">
      <alignment horizontal="center"/>
    </xf>
    <xf numFmtId="0" fontId="15" fillId="0" borderId="147" xfId="0" applyFont="1" applyBorder="1" applyAlignment="1" applyProtection="1">
      <alignment horizontal="center"/>
    </xf>
    <xf numFmtId="49" fontId="3" fillId="32" borderId="117" xfId="0" applyNumberFormat="1" applyFont="1" applyFill="1" applyBorder="1" applyAlignment="1" applyProtection="1">
      <alignment horizontal="left" vertical="center" wrapText="1"/>
      <protection locked="0"/>
    </xf>
    <xf numFmtId="49" fontId="68" fillId="32" borderId="10" xfId="0" applyNumberFormat="1" applyFont="1" applyFill="1" applyBorder="1" applyAlignment="1" applyProtection="1">
      <alignment horizontal="left" vertical="center" wrapText="1"/>
      <protection locked="0"/>
    </xf>
    <xf numFmtId="49" fontId="68" fillId="32" borderId="29" xfId="0" applyNumberFormat="1" applyFont="1" applyFill="1" applyBorder="1" applyAlignment="1" applyProtection="1">
      <alignment horizontal="left" vertical="center" wrapText="1"/>
      <protection locked="0"/>
    </xf>
    <xf numFmtId="49" fontId="68" fillId="32" borderId="117" xfId="0" applyNumberFormat="1" applyFont="1" applyFill="1" applyBorder="1" applyAlignment="1" applyProtection="1">
      <alignment horizontal="left" vertical="center" wrapText="1"/>
      <protection locked="0"/>
    </xf>
    <xf numFmtId="0" fontId="27" fillId="0" borderId="148" xfId="0" applyFont="1" applyBorder="1" applyAlignment="1" applyProtection="1">
      <alignment horizontal="center" wrapText="1"/>
    </xf>
    <xf numFmtId="0" fontId="27" fillId="0" borderId="149" xfId="0" applyFont="1" applyBorder="1" applyAlignment="1" applyProtection="1">
      <alignment horizontal="center" wrapText="1"/>
    </xf>
    <xf numFmtId="0" fontId="27" fillId="0" borderId="150" xfId="0" applyFont="1" applyBorder="1" applyAlignment="1" applyProtection="1">
      <alignment horizontal="center" wrapText="1"/>
    </xf>
    <xf numFmtId="49" fontId="3" fillId="32" borderId="121" xfId="0" applyNumberFormat="1" applyFont="1" applyFill="1" applyBorder="1" applyAlignment="1" applyProtection="1">
      <alignment horizontal="center" vertical="center" wrapText="1"/>
      <protection locked="0"/>
    </xf>
    <xf numFmtId="49" fontId="3" fillId="32" borderId="122" xfId="0" applyNumberFormat="1" applyFont="1" applyFill="1" applyBorder="1" applyAlignment="1" applyProtection="1">
      <alignment horizontal="center" vertical="center" wrapText="1"/>
      <protection locked="0"/>
    </xf>
    <xf numFmtId="49" fontId="3" fillId="32" borderId="117" xfId="0" applyNumberFormat="1" applyFont="1" applyFill="1" applyBorder="1" applyAlignment="1" applyProtection="1">
      <alignment horizontal="center" vertical="center" wrapText="1"/>
      <protection locked="0"/>
    </xf>
    <xf numFmtId="49" fontId="68" fillId="32" borderId="117" xfId="0" applyNumberFormat="1" applyFont="1" applyFill="1" applyBorder="1" applyAlignment="1" applyProtection="1">
      <alignment horizontal="center" vertical="center" wrapText="1"/>
      <protection locked="0"/>
    </xf>
    <xf numFmtId="49" fontId="3" fillId="27" borderId="117" xfId="0" applyNumberFormat="1" applyFont="1" applyFill="1" applyBorder="1" applyAlignment="1" applyProtection="1">
      <alignment horizontal="left" vertical="center" wrapText="1"/>
      <protection locked="0"/>
    </xf>
    <xf numFmtId="49" fontId="68" fillId="27" borderId="10" xfId="0" applyNumberFormat="1" applyFont="1" applyFill="1" applyBorder="1" applyAlignment="1" applyProtection="1">
      <alignment horizontal="left" vertical="center" wrapText="1"/>
      <protection locked="0"/>
    </xf>
    <xf numFmtId="49" fontId="68" fillId="27" borderId="29" xfId="0" applyNumberFormat="1" applyFont="1" applyFill="1" applyBorder="1" applyAlignment="1" applyProtection="1">
      <alignment horizontal="left" vertical="center" wrapText="1"/>
      <protection locked="0"/>
    </xf>
    <xf numFmtId="49" fontId="68" fillId="27" borderId="117" xfId="0" applyNumberFormat="1" applyFont="1" applyFill="1" applyBorder="1" applyAlignment="1" applyProtection="1">
      <alignment horizontal="left" vertical="center" wrapText="1"/>
      <protection locked="0"/>
    </xf>
    <xf numFmtId="49" fontId="15" fillId="0" borderId="25" xfId="0" applyNumberFormat="1" applyFont="1" applyBorder="1" applyAlignment="1" applyProtection="1">
      <alignment horizontal="center"/>
    </xf>
    <xf numFmtId="49" fontId="15" fillId="0" borderId="45" xfId="0" applyNumberFormat="1" applyFont="1" applyBorder="1" applyAlignment="1" applyProtection="1">
      <alignment horizontal="center"/>
    </xf>
    <xf numFmtId="49" fontId="3" fillId="29" borderId="117" xfId="0" applyNumberFormat="1" applyFont="1" applyFill="1" applyBorder="1" applyAlignment="1" applyProtection="1">
      <alignment horizontal="left" vertical="center" wrapText="1"/>
      <protection locked="0"/>
    </xf>
    <xf numFmtId="49" fontId="68" fillId="29" borderId="10" xfId="0" applyNumberFormat="1" applyFont="1" applyFill="1" applyBorder="1" applyAlignment="1" applyProtection="1">
      <alignment horizontal="left" vertical="center" wrapText="1"/>
      <protection locked="0"/>
    </xf>
    <xf numFmtId="49" fontId="68" fillId="29" borderId="29" xfId="0" applyNumberFormat="1" applyFont="1" applyFill="1" applyBorder="1" applyAlignment="1" applyProtection="1">
      <alignment horizontal="left" vertical="center" wrapText="1"/>
      <protection locked="0"/>
    </xf>
    <xf numFmtId="49" fontId="68" fillId="29" borderId="117" xfId="0" applyNumberFormat="1" applyFont="1" applyFill="1" applyBorder="1" applyAlignment="1" applyProtection="1">
      <alignment horizontal="left" vertical="center" wrapText="1"/>
      <protection locked="0"/>
    </xf>
    <xf numFmtId="43" fontId="62" fillId="31" borderId="0" xfId="40" applyFont="1" applyFill="1" applyAlignment="1" applyProtection="1">
      <alignment horizontal="center" vertical="center"/>
    </xf>
    <xf numFmtId="49" fontId="0" fillId="0" borderId="29" xfId="0" applyNumberFormat="1" applyBorder="1" applyAlignment="1" applyProtection="1">
      <alignment horizontal="center"/>
      <protection locked="0"/>
    </xf>
    <xf numFmtId="49" fontId="0" fillId="0" borderId="110" xfId="0" applyNumberFormat="1" applyBorder="1" applyAlignment="1" applyProtection="1">
      <alignment horizontal="center"/>
      <protection locked="0"/>
    </xf>
    <xf numFmtId="0" fontId="107" fillId="0" borderId="0" xfId="0" applyFont="1" applyAlignment="1" applyProtection="1">
      <alignment horizontal="right"/>
    </xf>
    <xf numFmtId="49" fontId="0" fillId="0" borderId="109" xfId="0" applyNumberFormat="1" applyBorder="1" applyAlignment="1" applyProtection="1">
      <alignment horizontal="center"/>
      <protection locked="0"/>
    </xf>
    <xf numFmtId="0" fontId="0" fillId="27" borderId="29" xfId="0" applyFill="1" applyBorder="1" applyAlignment="1" applyProtection="1">
      <alignment horizontal="center"/>
    </xf>
    <xf numFmtId="0" fontId="0" fillId="27" borderId="110" xfId="0" applyFill="1" applyBorder="1" applyAlignment="1" applyProtection="1">
      <alignment horizontal="center"/>
    </xf>
    <xf numFmtId="174" fontId="128" fillId="0" borderId="29" xfId="29" applyNumberFormat="1" applyFont="1" applyBorder="1" applyAlignment="1" applyProtection="1">
      <alignment horizontal="left"/>
      <protection locked="0"/>
    </xf>
    <xf numFmtId="174" fontId="128" fillId="0" borderId="110" xfId="29" applyNumberFormat="1" applyFont="1" applyBorder="1" applyAlignment="1" applyProtection="1">
      <alignment horizontal="left"/>
      <protection locked="0"/>
    </xf>
    <xf numFmtId="0" fontId="107" fillId="0" borderId="0" xfId="0" applyFont="1" applyBorder="1" applyAlignment="1" applyProtection="1">
      <alignment horizontal="right"/>
    </xf>
    <xf numFmtId="0" fontId="107" fillId="0" borderId="140" xfId="0" applyFont="1" applyBorder="1" applyAlignment="1" applyProtection="1">
      <alignment horizontal="right"/>
    </xf>
    <xf numFmtId="0" fontId="78" fillId="0" borderId="141" xfId="0" applyFont="1" applyFill="1" applyBorder="1" applyAlignment="1" applyProtection="1">
      <alignment horizontal="center" vertical="center"/>
    </xf>
    <xf numFmtId="0" fontId="78" fillId="0" borderId="142" xfId="0" applyFont="1" applyFill="1" applyBorder="1" applyAlignment="1" applyProtection="1">
      <alignment horizontal="center" vertical="center"/>
    </xf>
    <xf numFmtId="0" fontId="78" fillId="0" borderId="143" xfId="0" applyFont="1" applyFill="1" applyBorder="1" applyAlignment="1" applyProtection="1">
      <alignment horizontal="center" vertical="center"/>
    </xf>
    <xf numFmtId="49" fontId="0" fillId="0" borderId="29" xfId="0" applyNumberFormat="1" applyBorder="1" applyAlignment="1" applyProtection="1">
      <alignment horizontal="left"/>
      <protection locked="0"/>
    </xf>
    <xf numFmtId="49" fontId="0" fillId="0" borderId="109" xfId="0" applyNumberFormat="1" applyBorder="1" applyAlignment="1" applyProtection="1">
      <alignment horizontal="left"/>
      <protection locked="0"/>
    </xf>
    <xf numFmtId="49" fontId="0" fillId="0" borderId="110" xfId="0" applyNumberFormat="1" applyBorder="1" applyAlignment="1" applyProtection="1">
      <alignment horizontal="left"/>
      <protection locked="0"/>
    </xf>
    <xf numFmtId="0" fontId="107" fillId="0" borderId="48" xfId="0" applyFont="1" applyBorder="1" applyAlignment="1" applyProtection="1">
      <alignment horizontal="right"/>
    </xf>
    <xf numFmtId="15" fontId="116" fillId="0" borderId="10" xfId="59" applyNumberFormat="1" applyFont="1" applyFill="1" applyBorder="1" applyAlignment="1" applyProtection="1">
      <alignment horizontal="center"/>
      <protection locked="0"/>
    </xf>
    <xf numFmtId="15" fontId="134" fillId="0" borderId="10" xfId="59" applyNumberFormat="1" applyFill="1" applyBorder="1" applyAlignment="1" applyProtection="1">
      <alignment horizontal="center"/>
      <protection locked="0"/>
    </xf>
    <xf numFmtId="49" fontId="1" fillId="0" borderId="29" xfId="0" applyNumberFormat="1" applyFont="1" applyBorder="1" applyAlignment="1" applyProtection="1">
      <alignment horizontal="left"/>
      <protection locked="0"/>
    </xf>
    <xf numFmtId="49" fontId="1" fillId="0" borderId="109" xfId="0" applyNumberFormat="1" applyFont="1" applyBorder="1" applyAlignment="1" applyProtection="1">
      <alignment horizontal="left"/>
      <protection locked="0"/>
    </xf>
    <xf numFmtId="49" fontId="1" fillId="0" borderId="110" xfId="0" applyNumberFormat="1" applyFont="1" applyBorder="1" applyAlignment="1" applyProtection="1">
      <alignment horizontal="left"/>
      <protection locked="0"/>
    </xf>
    <xf numFmtId="43" fontId="16" fillId="34" borderId="10" xfId="59" applyFont="1" applyFill="1" applyBorder="1" applyAlignment="1" applyProtection="1">
      <alignment horizontal="center"/>
      <protection locked="0"/>
    </xf>
    <xf numFmtId="49" fontId="68" fillId="29" borderId="110" xfId="0" applyNumberFormat="1" applyFont="1" applyFill="1" applyBorder="1" applyAlignment="1" applyProtection="1">
      <alignment horizontal="center" vertical="center" wrapText="1"/>
      <protection locked="0"/>
    </xf>
    <xf numFmtId="0" fontId="0" fillId="0" borderId="135" xfId="0" applyBorder="1" applyAlignment="1" applyProtection="1">
      <alignment horizontal="center"/>
    </xf>
    <xf numFmtId="0" fontId="0" fillId="0" borderId="21" xfId="0" applyBorder="1" applyAlignment="1" applyProtection="1">
      <alignment horizontal="center"/>
    </xf>
    <xf numFmtId="0" fontId="85" fillId="0" borderId="136" xfId="0" applyFont="1" applyBorder="1" applyAlignment="1" applyProtection="1">
      <alignment horizontal="right"/>
    </xf>
    <xf numFmtId="0" fontId="112" fillId="0" borderId="136" xfId="0" applyFont="1" applyBorder="1" applyAlignment="1"/>
    <xf numFmtId="0" fontId="0" fillId="0" borderId="137" xfId="0" applyFill="1" applyBorder="1" applyAlignment="1" applyProtection="1">
      <alignment horizontal="center" vertical="center"/>
      <protection locked="0"/>
    </xf>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49" fontId="3" fillId="29" borderId="110" xfId="0" applyNumberFormat="1" applyFont="1" applyFill="1" applyBorder="1" applyAlignment="1" applyProtection="1">
      <alignment horizontal="center" vertical="center" wrapText="1"/>
      <protection locked="0"/>
    </xf>
    <xf numFmtId="0" fontId="68" fillId="29" borderId="123" xfId="0" applyNumberFormat="1" applyFont="1" applyFill="1" applyBorder="1" applyAlignment="1" applyProtection="1">
      <alignment horizontal="center" vertical="center" wrapText="1"/>
      <protection locked="0"/>
    </xf>
    <xf numFmtId="49" fontId="15" fillId="0" borderId="23" xfId="0" applyNumberFormat="1" applyFont="1" applyBorder="1" applyAlignment="1" applyProtection="1">
      <alignment horizontal="center"/>
    </xf>
    <xf numFmtId="49" fontId="15" fillId="0" borderId="10" xfId="0" applyNumberFormat="1" applyFont="1" applyBorder="1" applyAlignment="1" applyProtection="1">
      <alignment horizontal="center"/>
    </xf>
    <xf numFmtId="0" fontId="68" fillId="0" borderId="110" xfId="0" applyFont="1" applyFill="1" applyBorder="1" applyAlignment="1" applyProtection="1">
      <alignment horizontal="center" vertical="center" wrapText="1"/>
    </xf>
    <xf numFmtId="0" fontId="68" fillId="0" borderId="123" xfId="0" applyFont="1" applyFill="1" applyBorder="1" applyAlignment="1" applyProtection="1">
      <alignment horizontal="center" vertical="center" wrapText="1"/>
    </xf>
    <xf numFmtId="49" fontId="68" fillId="32" borderId="121" xfId="0" applyNumberFormat="1" applyFont="1" applyFill="1" applyBorder="1" applyAlignment="1" applyProtection="1">
      <alignment horizontal="center" vertical="center" wrapText="1"/>
      <protection locked="0"/>
    </xf>
    <xf numFmtId="49" fontId="68" fillId="32" borderId="122" xfId="0" applyNumberFormat="1" applyFont="1" applyFill="1" applyBorder="1" applyAlignment="1" applyProtection="1">
      <alignment horizontal="center" vertical="center" wrapText="1"/>
      <protection locked="0"/>
    </xf>
    <xf numFmtId="0" fontId="68" fillId="29" borderId="133" xfId="0" applyNumberFormat="1" applyFont="1" applyFill="1" applyBorder="1" applyAlignment="1" applyProtection="1">
      <alignment horizontal="center" vertical="center" wrapText="1"/>
      <protection locked="0"/>
    </xf>
    <xf numFmtId="49" fontId="68" fillId="29" borderId="134" xfId="0" applyNumberFormat="1" applyFont="1" applyFill="1" applyBorder="1" applyAlignment="1" applyProtection="1">
      <alignment horizontal="center" vertical="center" wrapText="1"/>
      <protection locked="0"/>
    </xf>
    <xf numFmtId="0" fontId="68" fillId="0" borderId="127" xfId="0" applyFont="1" applyFill="1" applyBorder="1" applyAlignment="1" applyProtection="1">
      <alignment horizontal="left" vertical="center" wrapText="1"/>
    </xf>
    <xf numFmtId="0" fontId="68" fillId="0" borderId="109" xfId="0" applyFont="1" applyFill="1" applyBorder="1" applyAlignment="1" applyProtection="1">
      <alignment horizontal="left" vertical="center" wrapText="1"/>
    </xf>
    <xf numFmtId="0" fontId="68" fillId="0" borderId="128" xfId="0" applyFont="1" applyFill="1" applyBorder="1" applyAlignment="1" applyProtection="1">
      <alignment horizontal="left" vertical="center" wrapText="1"/>
    </xf>
    <xf numFmtId="0" fontId="68" fillId="0" borderId="129" xfId="0" applyFont="1" applyFill="1" applyBorder="1" applyAlignment="1" applyProtection="1">
      <alignment horizontal="left" vertical="center" wrapText="1"/>
    </xf>
    <xf numFmtId="0" fontId="68" fillId="0" borderId="130" xfId="0" applyFont="1" applyFill="1" applyBorder="1" applyAlignment="1" applyProtection="1">
      <alignment horizontal="left" vertical="center" wrapText="1"/>
    </xf>
    <xf numFmtId="0" fontId="68" fillId="0" borderId="131" xfId="0" applyFont="1" applyFill="1" applyBorder="1" applyAlignment="1" applyProtection="1">
      <alignment horizontal="left" vertical="center" wrapText="1"/>
    </xf>
    <xf numFmtId="49" fontId="68" fillId="29" borderId="132" xfId="0" applyNumberFormat="1" applyFont="1" applyFill="1" applyBorder="1" applyAlignment="1" applyProtection="1">
      <alignment horizontal="left" vertical="center" wrapText="1"/>
      <protection locked="0"/>
    </xf>
    <xf numFmtId="49" fontId="68" fillId="29" borderId="61" xfId="0" applyNumberFormat="1" applyFont="1" applyFill="1" applyBorder="1" applyAlignment="1" applyProtection="1">
      <alignment horizontal="left" vertical="center" wrapText="1"/>
      <protection locked="0"/>
    </xf>
    <xf numFmtId="49" fontId="68" fillId="29" borderId="30" xfId="0" applyNumberFormat="1" applyFont="1" applyFill="1" applyBorder="1" applyAlignment="1" applyProtection="1">
      <alignment horizontal="left" vertical="center" wrapText="1"/>
      <protection locked="0"/>
    </xf>
    <xf numFmtId="9" fontId="34" fillId="0" borderId="118" xfId="57" applyFont="1" applyFill="1" applyBorder="1" applyAlignment="1" applyProtection="1">
      <alignment horizontal="center" vertical="center"/>
    </xf>
    <xf numFmtId="9" fontId="34" fillId="0" borderId="119" xfId="57" applyFont="1" applyFill="1" applyBorder="1" applyAlignment="1" applyProtection="1">
      <alignment horizontal="center" vertical="center"/>
    </xf>
    <xf numFmtId="9" fontId="34" fillId="0" borderId="120" xfId="57" applyFont="1" applyFill="1" applyBorder="1" applyAlignment="1" applyProtection="1">
      <alignment horizontal="center" vertical="center"/>
    </xf>
    <xf numFmtId="0" fontId="0" fillId="33" borderId="124" xfId="0" applyFill="1" applyBorder="1" applyAlignment="1" applyProtection="1">
      <alignment horizontal="center"/>
    </xf>
    <xf numFmtId="0" fontId="0" fillId="33" borderId="125" xfId="0" applyFill="1" applyBorder="1" applyAlignment="1" applyProtection="1">
      <alignment horizontal="center"/>
    </xf>
    <xf numFmtId="0" fontId="0" fillId="33" borderId="126" xfId="0" applyFill="1" applyBorder="1" applyAlignment="1" applyProtection="1">
      <alignment horizontal="center"/>
    </xf>
    <xf numFmtId="43" fontId="100" fillId="31" borderId="0" xfId="40" applyFont="1" applyFill="1" applyAlignment="1" applyProtection="1">
      <alignment horizontal="center" vertical="center"/>
    </xf>
    <xf numFmtId="43" fontId="25" fillId="24" borderId="65" xfId="59" applyFont="1" applyFill="1" applyBorder="1" applyAlignment="1" applyProtection="1">
      <alignment horizontal="left"/>
    </xf>
    <xf numFmtId="43" fontId="34" fillId="24" borderId="0" xfId="51" applyFont="1" applyFill="1" applyAlignment="1" applyProtection="1">
      <alignment horizontal="center" vertical="center" wrapText="1"/>
    </xf>
    <xf numFmtId="173" fontId="25" fillId="24" borderId="65" xfId="59" applyNumberFormat="1" applyFont="1" applyFill="1" applyBorder="1" applyAlignment="1" applyProtection="1">
      <alignment horizontal="left"/>
    </xf>
    <xf numFmtId="43" fontId="2" fillId="0" borderId="65" xfId="59" applyFont="1" applyBorder="1" applyAlignment="1" applyProtection="1">
      <alignment horizontal="right"/>
    </xf>
    <xf numFmtId="43" fontId="2" fillId="0" borderId="65" xfId="59" applyFont="1" applyFill="1" applyBorder="1" applyAlignment="1" applyProtection="1">
      <alignment horizontal="right"/>
    </xf>
    <xf numFmtId="43" fontId="21" fillId="0" borderId="0" xfId="51" applyFont="1" applyFill="1" applyAlignment="1" applyProtection="1">
      <alignment horizontal="right" vertical="center"/>
    </xf>
    <xf numFmtId="43" fontId="25" fillId="24" borderId="0" xfId="51" applyFont="1" applyFill="1" applyAlignment="1" applyProtection="1">
      <alignment horizontal="center" vertical="center" wrapText="1"/>
    </xf>
    <xf numFmtId="43" fontId="110" fillId="30" borderId="65" xfId="59" applyFont="1" applyFill="1" applyBorder="1" applyAlignment="1" applyProtection="1">
      <alignment horizontal="center"/>
    </xf>
    <xf numFmtId="15" fontId="25" fillId="24" borderId="65" xfId="59" applyNumberFormat="1" applyFont="1" applyFill="1" applyBorder="1" applyAlignment="1" applyProtection="1">
      <alignment horizontal="left"/>
    </xf>
    <xf numFmtId="0" fontId="0" fillId="0" borderId="65" xfId="0" applyBorder="1" applyAlignment="1">
      <alignment horizontal="left"/>
    </xf>
    <xf numFmtId="0" fontId="35" fillId="27" borderId="29" xfId="0" applyFont="1" applyFill="1" applyBorder="1" applyAlignment="1" applyProtection="1">
      <alignment horizontal="left" wrapText="1"/>
      <protection locked="0"/>
    </xf>
    <xf numFmtId="0" fontId="35" fillId="27" borderId="109" xfId="0" applyFont="1" applyFill="1" applyBorder="1" applyAlignment="1" applyProtection="1">
      <alignment horizontal="left" wrapText="1"/>
      <protection locked="0"/>
    </xf>
    <xf numFmtId="0" fontId="35" fillId="27" borderId="110" xfId="0" applyFont="1" applyFill="1" applyBorder="1" applyAlignment="1" applyProtection="1">
      <alignment horizontal="left" wrapText="1"/>
      <protection locked="0"/>
    </xf>
    <xf numFmtId="0" fontId="0" fillId="0" borderId="109" xfId="0" applyBorder="1" applyAlignment="1" applyProtection="1">
      <alignment horizontal="left" wrapText="1"/>
      <protection locked="0"/>
    </xf>
    <xf numFmtId="0" fontId="0" fillId="0" borderId="110" xfId="0" applyBorder="1" applyAlignment="1" applyProtection="1">
      <alignment horizontal="left" wrapText="1"/>
      <protection locked="0"/>
    </xf>
    <xf numFmtId="0" fontId="111" fillId="0" borderId="151" xfId="0" applyFont="1" applyFill="1" applyBorder="1" applyAlignment="1" applyProtection="1">
      <alignment horizontal="left" wrapText="1"/>
    </xf>
    <xf numFmtId="0" fontId="111" fillId="0" borderId="93" xfId="0" applyFont="1" applyFill="1" applyBorder="1" applyAlignment="1" applyProtection="1">
      <alignment horizontal="left" wrapText="1"/>
    </xf>
    <xf numFmtId="0" fontId="111" fillId="0" borderId="152" xfId="0" applyFont="1" applyFill="1" applyBorder="1" applyAlignment="1" applyProtection="1">
      <alignment horizontal="left" wrapText="1"/>
    </xf>
    <xf numFmtId="0" fontId="111" fillId="0" borderId="153" xfId="0" applyFont="1" applyFill="1" applyBorder="1" applyAlignment="1" applyProtection="1">
      <alignment horizontal="left" wrapText="1"/>
    </xf>
    <xf numFmtId="43" fontId="15" fillId="0" borderId="0" xfId="0" applyNumberFormat="1" applyFont="1" applyAlignment="1" applyProtection="1">
      <alignment horizontal="center" wrapText="1"/>
    </xf>
    <xf numFmtId="43" fontId="29" fillId="0" borderId="0" xfId="0" applyNumberFormat="1" applyFont="1" applyAlignment="1" applyProtection="1">
      <alignment horizontal="right"/>
    </xf>
    <xf numFmtId="15" fontId="29" fillId="0" borderId="0" xfId="0" applyNumberFormat="1" applyFont="1" applyAlignment="1" applyProtection="1">
      <alignment horizontal="right"/>
    </xf>
    <xf numFmtId="43" fontId="15" fillId="0" borderId="0" xfId="0" applyNumberFormat="1" applyFont="1" applyAlignment="1" applyProtection="1">
      <alignment horizontal="center"/>
    </xf>
    <xf numFmtId="43" fontId="29" fillId="0" borderId="0" xfId="0" applyNumberFormat="1" applyFont="1" applyAlignment="1" applyProtection="1">
      <alignment horizontal="left"/>
    </xf>
    <xf numFmtId="43" fontId="16" fillId="30" borderId="0" xfId="59" applyFont="1" applyFill="1" applyBorder="1" applyAlignment="1" applyProtection="1">
      <alignment horizontal="center"/>
    </xf>
    <xf numFmtId="0" fontId="104" fillId="0" borderId="0" xfId="0" applyFont="1" applyAlignment="1" applyProtection="1">
      <alignment horizontal="center"/>
    </xf>
    <xf numFmtId="43" fontId="103" fillId="0" borderId="124" xfId="0" applyNumberFormat="1" applyFont="1" applyBorder="1" applyAlignment="1" applyProtection="1">
      <alignment horizontal="center" vertical="center" wrapText="1"/>
    </xf>
    <xf numFmtId="43" fontId="103" fillId="0" borderId="125" xfId="0" applyNumberFormat="1" applyFont="1" applyBorder="1" applyAlignment="1" applyProtection="1">
      <alignment horizontal="center" vertical="center" wrapText="1"/>
    </xf>
    <xf numFmtId="43" fontId="103" fillId="0" borderId="126" xfId="0" applyNumberFormat="1" applyFont="1" applyBorder="1" applyAlignment="1" applyProtection="1">
      <alignment horizontal="center" vertical="center" wrapText="1"/>
    </xf>
    <xf numFmtId="0" fontId="0" fillId="0" borderId="154" xfId="0" applyBorder="1" applyAlignment="1" applyProtection="1">
      <alignment horizontal="center"/>
    </xf>
    <xf numFmtId="0" fontId="0" fillId="0" borderId="64" xfId="0" applyBorder="1" applyAlignment="1" applyProtection="1">
      <alignment horizontal="center"/>
    </xf>
    <xf numFmtId="0" fontId="31" fillId="27" borderId="29" xfId="0" applyFont="1" applyFill="1" applyBorder="1" applyAlignment="1" applyProtection="1">
      <alignment horizontal="left" wrapText="1"/>
      <protection locked="0"/>
    </xf>
    <xf numFmtId="0" fontId="31" fillId="0" borderId="10" xfId="0" applyFont="1" applyBorder="1" applyAlignment="1" applyProtection="1">
      <alignment vertical="center" wrapText="1"/>
    </xf>
    <xf numFmtId="9" fontId="35" fillId="27" borderId="10" xfId="57" applyFont="1" applyFill="1" applyBorder="1" applyAlignment="1" applyProtection="1">
      <alignment horizontal="left" vertical="center" wrapText="1"/>
      <protection locked="0"/>
    </xf>
    <xf numFmtId="0" fontId="35" fillId="27" borderId="29" xfId="0" applyFont="1" applyFill="1" applyBorder="1" applyAlignment="1" applyProtection="1">
      <alignment horizontal="left" vertical="top" wrapText="1"/>
      <protection locked="0"/>
    </xf>
    <xf numFmtId="0" fontId="35" fillId="27" borderId="109" xfId="0" applyFont="1" applyFill="1" applyBorder="1" applyAlignment="1" applyProtection="1">
      <alignment horizontal="left" vertical="top" wrapText="1"/>
      <protection locked="0"/>
    </xf>
    <xf numFmtId="0" fontId="35" fillId="27" borderId="110" xfId="0" applyFont="1" applyFill="1" applyBorder="1" applyAlignment="1" applyProtection="1">
      <alignment horizontal="left" vertical="top" wrapText="1"/>
      <protection locked="0"/>
    </xf>
    <xf numFmtId="0" fontId="0" fillId="0" borderId="109" xfId="0" applyBorder="1" applyAlignment="1" applyProtection="1">
      <alignment horizontal="left" vertical="top" wrapText="1"/>
      <protection locked="0"/>
    </xf>
    <xf numFmtId="0" fontId="0" fillId="0" borderId="110" xfId="0" applyBorder="1" applyAlignment="1" applyProtection="1">
      <alignment horizontal="left" vertical="top" wrapText="1"/>
      <protection locked="0"/>
    </xf>
    <xf numFmtId="0" fontId="34" fillId="0" borderId="104" xfId="0" applyFont="1" applyBorder="1" applyAlignment="1" applyProtection="1">
      <alignment horizontal="center"/>
    </xf>
    <xf numFmtId="0" fontId="31" fillId="0" borderId="10" xfId="0" applyFont="1" applyBorder="1" applyAlignment="1" applyProtection="1">
      <alignment horizontal="center" vertical="center" wrapText="1"/>
    </xf>
    <xf numFmtId="0" fontId="35" fillId="20" borderId="155" xfId="0" applyFont="1" applyFill="1" applyBorder="1" applyAlignment="1" applyProtection="1">
      <alignment horizontal="left"/>
      <protection locked="0"/>
    </xf>
    <xf numFmtId="0" fontId="35" fillId="20" borderId="0" xfId="0" applyFont="1" applyFill="1" applyBorder="1" applyAlignment="1" applyProtection="1">
      <alignment horizontal="left"/>
      <protection locked="0"/>
    </xf>
    <xf numFmtId="0" fontId="35" fillId="20" borderId="42" xfId="0" applyFont="1" applyFill="1" applyBorder="1" applyAlignment="1" applyProtection="1">
      <alignment horizontal="left"/>
      <protection locked="0"/>
    </xf>
    <xf numFmtId="9" fontId="29" fillId="0" borderId="29" xfId="57" applyFont="1" applyBorder="1" applyAlignment="1" applyProtection="1">
      <alignment horizontal="center" vertical="center" wrapText="1"/>
    </xf>
    <xf numFmtId="9" fontId="29" fillId="0" borderId="109" xfId="57" applyFont="1" applyBorder="1" applyAlignment="1" applyProtection="1">
      <alignment horizontal="center" vertical="center" wrapText="1"/>
    </xf>
    <xf numFmtId="9" fontId="29" fillId="0" borderId="110" xfId="57" applyFont="1" applyBorder="1" applyAlignment="1" applyProtection="1">
      <alignment horizontal="center" vertical="center" wrapText="1"/>
    </xf>
    <xf numFmtId="9" fontId="130" fillId="0" borderId="29" xfId="57" applyFont="1" applyBorder="1" applyAlignment="1" applyProtection="1">
      <alignment horizontal="center" vertical="center" wrapText="1"/>
    </xf>
    <xf numFmtId="9" fontId="130" fillId="0" borderId="109" xfId="57" applyFont="1" applyBorder="1" applyAlignment="1" applyProtection="1">
      <alignment horizontal="center" vertical="center" wrapText="1"/>
    </xf>
    <xf numFmtId="9" fontId="130" fillId="0" borderId="110" xfId="57" applyFont="1" applyBorder="1" applyAlignment="1" applyProtection="1">
      <alignment horizontal="center" vertical="center" wrapText="1"/>
    </xf>
    <xf numFmtId="0" fontId="35" fillId="20" borderId="115" xfId="0" applyFont="1" applyFill="1" applyBorder="1" applyAlignment="1" applyProtection="1">
      <alignment horizontal="left"/>
    </xf>
    <xf numFmtId="0" fontId="35" fillId="20" borderId="115" xfId="0" applyFont="1" applyFill="1" applyBorder="1" applyAlignment="1" applyProtection="1">
      <alignment horizontal="left" vertical="center" wrapText="1"/>
    </xf>
    <xf numFmtId="49" fontId="31" fillId="0" borderId="10" xfId="0" applyNumberFormat="1" applyFont="1" applyBorder="1" applyAlignment="1" applyProtection="1">
      <alignment vertical="center" wrapText="1"/>
    </xf>
    <xf numFmtId="0" fontId="31" fillId="0" borderId="29" xfId="0" applyFont="1" applyBorder="1" applyAlignment="1" applyProtection="1">
      <alignment vertical="center" wrapText="1"/>
    </xf>
    <xf numFmtId="0" fontId="31" fillId="0" borderId="109" xfId="0" applyFont="1" applyBorder="1" applyAlignment="1" applyProtection="1">
      <alignment vertical="center" wrapText="1"/>
    </xf>
    <xf numFmtId="0" fontId="31" fillId="0" borderId="110" xfId="0" applyFont="1" applyBorder="1" applyAlignment="1" applyProtection="1">
      <alignment vertical="center" wrapText="1"/>
    </xf>
    <xf numFmtId="0" fontId="35" fillId="20" borderId="0" xfId="0" applyFont="1" applyFill="1" applyAlignment="1" applyProtection="1">
      <alignment horizontal="left"/>
      <protection locked="0"/>
    </xf>
    <xf numFmtId="0" fontId="35" fillId="20" borderId="0" xfId="0" applyFont="1" applyFill="1" applyBorder="1" applyAlignment="1" applyProtection="1">
      <alignment horizontal="left"/>
    </xf>
    <xf numFmtId="9" fontId="38" fillId="33" borderId="29" xfId="57" applyFont="1" applyFill="1" applyBorder="1" applyAlignment="1" applyProtection="1">
      <alignment horizontal="center" vertical="center" wrapText="1"/>
    </xf>
    <xf numFmtId="9" fontId="38" fillId="33" borderId="110" xfId="57" applyFont="1" applyFill="1" applyBorder="1" applyAlignment="1" applyProtection="1">
      <alignment horizontal="center" vertical="center" wrapText="1"/>
    </xf>
    <xf numFmtId="9" fontId="38" fillId="35" borderId="29" xfId="57" applyFont="1" applyFill="1" applyBorder="1" applyAlignment="1" applyProtection="1">
      <alignment horizontal="center" vertical="center" wrapText="1"/>
    </xf>
    <xf numFmtId="9" fontId="38" fillId="35" borderId="110" xfId="57" applyFont="1" applyFill="1" applyBorder="1" applyAlignment="1" applyProtection="1">
      <alignment horizontal="center" vertical="center" wrapText="1"/>
    </xf>
    <xf numFmtId="0" fontId="35" fillId="0" borderId="29" xfId="0" applyFont="1" applyBorder="1" applyAlignment="1" applyProtection="1">
      <alignment horizontal="center" vertical="center"/>
    </xf>
    <xf numFmtId="0" fontId="35" fillId="0" borderId="109" xfId="0" applyFont="1" applyBorder="1" applyAlignment="1" applyProtection="1">
      <alignment horizontal="center" vertical="center"/>
    </xf>
    <xf numFmtId="0" fontId="35" fillId="0" borderId="110" xfId="0" applyFont="1" applyBorder="1" applyAlignment="1" applyProtection="1">
      <alignment horizontal="center" vertical="center"/>
    </xf>
    <xf numFmtId="9" fontId="35" fillId="27" borderId="10" xfId="108" applyFont="1" applyFill="1" applyBorder="1" applyAlignment="1" applyProtection="1">
      <alignment horizontal="left" vertical="center" wrapText="1"/>
      <protection locked="0"/>
    </xf>
    <xf numFmtId="0" fontId="35" fillId="20" borderId="0" xfId="0" applyFont="1" applyFill="1" applyAlignment="1" applyProtection="1">
      <alignment horizontal="center" vertical="center" wrapText="1"/>
    </xf>
    <xf numFmtId="43" fontId="62" fillId="31" borderId="0" xfId="49" applyFont="1" applyFill="1" applyAlignment="1" applyProtection="1">
      <alignment horizontal="center" vertical="center"/>
    </xf>
    <xf numFmtId="0" fontId="35" fillId="0" borderId="115" xfId="0" applyFont="1" applyBorder="1" applyAlignment="1" applyProtection="1">
      <alignment horizontal="left" vertical="center" wrapText="1"/>
    </xf>
    <xf numFmtId="43" fontId="104" fillId="0" borderId="0" xfId="0" applyNumberFormat="1" applyFont="1" applyAlignment="1" applyProtection="1">
      <alignment horizontal="center"/>
    </xf>
    <xf numFmtId="43" fontId="34" fillId="0" borderId="0" xfId="0" applyNumberFormat="1" applyFont="1" applyAlignment="1" applyProtection="1">
      <alignment horizontal="center"/>
    </xf>
    <xf numFmtId="43" fontId="16" fillId="30" borderId="0" xfId="60" applyFont="1" applyFill="1" applyBorder="1" applyAlignment="1" applyProtection="1">
      <alignment horizontal="center"/>
    </xf>
    <xf numFmtId="0" fontId="86" fillId="0" borderId="0" xfId="0" applyFont="1" applyAlignment="1">
      <alignment horizontal="left" wrapText="1"/>
    </xf>
    <xf numFmtId="8" fontId="31" fillId="27" borderId="29" xfId="0" applyNumberFormat="1" applyFont="1" applyFill="1" applyBorder="1" applyAlignment="1" applyProtection="1">
      <alignment horizontal="left" wrapText="1"/>
      <protection locked="0"/>
    </xf>
    <xf numFmtId="43" fontId="29" fillId="0" borderId="0" xfId="0" applyNumberFormat="1" applyFont="1" applyAlignment="1">
      <alignment horizontal="left"/>
    </xf>
    <xf numFmtId="43" fontId="15" fillId="0" borderId="0" xfId="0" applyNumberFormat="1" applyFont="1" applyAlignment="1">
      <alignment horizontal="center"/>
    </xf>
    <xf numFmtId="0" fontId="0" fillId="0" borderId="137" xfId="0" applyFill="1" applyBorder="1" applyAlignment="1" applyProtection="1">
      <alignment horizontal="center" vertical="center"/>
    </xf>
    <xf numFmtId="0" fontId="0" fillId="0" borderId="138" xfId="0" applyFill="1" applyBorder="1" applyAlignment="1" applyProtection="1">
      <alignment horizontal="center" vertical="center"/>
    </xf>
    <xf numFmtId="0" fontId="0" fillId="0" borderId="139" xfId="0" applyFill="1" applyBorder="1" applyAlignment="1" applyProtection="1">
      <alignment horizontal="center" vertical="center"/>
    </xf>
    <xf numFmtId="0" fontId="15" fillId="0" borderId="0" xfId="0" applyFont="1" applyBorder="1" applyAlignment="1">
      <alignment horizontal="center"/>
    </xf>
    <xf numFmtId="0" fontId="104" fillId="0" borderId="0" xfId="0" applyFont="1" applyAlignment="1">
      <alignment horizontal="center"/>
    </xf>
    <xf numFmtId="0" fontId="0" fillId="0" borderId="0" xfId="0" applyBorder="1" applyAlignment="1">
      <alignment horizontal="center"/>
    </xf>
    <xf numFmtId="43" fontId="62" fillId="31" borderId="0" xfId="49" applyFont="1" applyFill="1" applyAlignment="1">
      <alignment horizontal="center" vertical="center"/>
    </xf>
    <xf numFmtId="43" fontId="29" fillId="0" borderId="0" xfId="0" applyNumberFormat="1" applyFont="1" applyAlignment="1">
      <alignment horizontal="right"/>
    </xf>
    <xf numFmtId="15" fontId="29" fillId="0" borderId="0" xfId="0" applyNumberFormat="1" applyFont="1" applyAlignment="1">
      <alignment horizontal="right"/>
    </xf>
    <xf numFmtId="9" fontId="3" fillId="0" borderId="165" xfId="57" applyNumberFormat="1" applyFont="1" applyFill="1" applyBorder="1" applyAlignment="1" applyProtection="1">
      <alignment horizontal="left" vertical="center" wrapText="1"/>
    </xf>
    <xf numFmtId="0" fontId="3" fillId="0" borderId="166" xfId="57" applyNumberFormat="1" applyFont="1" applyFill="1" applyBorder="1" applyAlignment="1" applyProtection="1">
      <alignment horizontal="left" vertical="center" wrapText="1"/>
    </xf>
    <xf numFmtId="0" fontId="3" fillId="0" borderId="167" xfId="57" applyNumberFormat="1" applyFont="1" applyFill="1" applyBorder="1" applyAlignment="1" applyProtection="1">
      <alignment horizontal="left" vertical="center" wrapText="1"/>
    </xf>
    <xf numFmtId="0" fontId="61" fillId="27" borderId="189" xfId="0" applyFont="1" applyFill="1" applyBorder="1" applyAlignment="1" applyProtection="1">
      <alignment horizontal="center" vertical="center"/>
    </xf>
    <xf numFmtId="0" fontId="61" fillId="27" borderId="190" xfId="0" applyFont="1" applyFill="1" applyBorder="1" applyAlignment="1" applyProtection="1">
      <alignment horizontal="center" vertical="center"/>
    </xf>
    <xf numFmtId="0" fontId="61" fillId="27" borderId="191" xfId="0" applyFont="1" applyFill="1" applyBorder="1" applyAlignment="1" applyProtection="1">
      <alignment horizontal="center" vertical="center"/>
    </xf>
    <xf numFmtId="0" fontId="81" fillId="0" borderId="192" xfId="0" applyNumberFormat="1" applyFont="1" applyFill="1" applyBorder="1" applyAlignment="1" applyProtection="1">
      <alignment horizontal="left" vertical="center" wrapText="1"/>
    </xf>
    <xf numFmtId="0" fontId="81" fillId="0" borderId="193" xfId="0" applyNumberFormat="1" applyFont="1" applyFill="1" applyBorder="1" applyAlignment="1" applyProtection="1">
      <alignment horizontal="left" vertical="center" wrapText="1"/>
    </xf>
    <xf numFmtId="0" fontId="81" fillId="0" borderId="194" xfId="0" applyNumberFormat="1" applyFont="1" applyFill="1" applyBorder="1" applyAlignment="1" applyProtection="1">
      <alignment horizontal="left" vertical="center" wrapText="1"/>
    </xf>
    <xf numFmtId="0" fontId="3" fillId="36" borderId="156" xfId="0" applyFont="1" applyFill="1" applyBorder="1" applyAlignment="1" applyProtection="1">
      <alignment horizontal="center" vertical="top" wrapText="1"/>
      <protection locked="0"/>
    </xf>
    <xf numFmtId="0" fontId="3" fillId="36" borderId="157" xfId="0" applyFont="1" applyFill="1" applyBorder="1" applyAlignment="1" applyProtection="1">
      <alignment horizontal="center" vertical="top" wrapText="1"/>
      <protection locked="0"/>
    </xf>
    <xf numFmtId="0" fontId="3" fillId="36" borderId="158" xfId="0" applyFont="1" applyFill="1" applyBorder="1" applyAlignment="1" applyProtection="1">
      <alignment horizontal="center" vertical="top" wrapText="1"/>
      <protection locked="0"/>
    </xf>
    <xf numFmtId="0" fontId="3" fillId="36" borderId="195" xfId="0" applyFont="1" applyFill="1" applyBorder="1" applyAlignment="1" applyProtection="1">
      <alignment horizontal="center" vertical="top" wrapText="1"/>
      <protection locked="0"/>
    </xf>
    <xf numFmtId="0" fontId="3" fillId="36" borderId="196" xfId="0" applyFont="1" applyFill="1" applyBorder="1" applyAlignment="1" applyProtection="1">
      <alignment horizontal="center" vertical="top" wrapText="1"/>
      <protection locked="0"/>
    </xf>
    <xf numFmtId="0" fontId="3" fillId="36" borderId="197" xfId="0" applyFont="1" applyFill="1" applyBorder="1" applyAlignment="1" applyProtection="1">
      <alignment horizontal="center" vertical="top" wrapText="1"/>
      <protection locked="0"/>
    </xf>
    <xf numFmtId="0" fontId="80" fillId="19" borderId="12" xfId="0" applyFont="1" applyFill="1" applyBorder="1" applyAlignment="1" applyProtection="1">
      <alignment horizontal="center" vertical="center"/>
    </xf>
    <xf numFmtId="0" fontId="61" fillId="25" borderId="174" xfId="0" applyFont="1" applyFill="1" applyBorder="1" applyAlignment="1" applyProtection="1">
      <alignment horizontal="center" vertical="center"/>
    </xf>
    <xf numFmtId="0" fontId="61" fillId="25" borderId="175" xfId="0" applyFont="1" applyFill="1" applyBorder="1" applyAlignment="1" applyProtection="1">
      <alignment horizontal="center" vertical="center"/>
    </xf>
    <xf numFmtId="0" fontId="61" fillId="25" borderId="176" xfId="0" applyFont="1" applyFill="1" applyBorder="1" applyAlignment="1" applyProtection="1">
      <alignment horizontal="center" vertical="center"/>
    </xf>
    <xf numFmtId="0" fontId="3" fillId="37" borderId="184" xfId="0" applyFont="1" applyFill="1" applyBorder="1" applyAlignment="1" applyProtection="1">
      <alignment horizontal="center" vertical="top" wrapText="1"/>
      <protection locked="0"/>
    </xf>
    <xf numFmtId="0" fontId="3" fillId="37" borderId="185" xfId="0" applyFont="1" applyFill="1" applyBorder="1" applyAlignment="1" applyProtection="1">
      <alignment horizontal="center" vertical="top" wrapText="1"/>
      <protection locked="0"/>
    </xf>
    <xf numFmtId="0" fontId="3" fillId="37" borderId="186" xfId="0" applyFont="1" applyFill="1" applyBorder="1" applyAlignment="1" applyProtection="1">
      <alignment horizontal="center" vertical="top" wrapText="1"/>
      <protection locked="0"/>
    </xf>
    <xf numFmtId="0" fontId="104" fillId="0" borderId="0" xfId="0" applyFont="1" applyBorder="1" applyAlignment="1" applyProtection="1">
      <alignment horizontal="center"/>
    </xf>
    <xf numFmtId="0" fontId="81" fillId="0" borderId="187" xfId="0" applyNumberFormat="1" applyFont="1" applyFill="1" applyBorder="1" applyAlignment="1" applyProtection="1">
      <alignment horizontal="left" vertical="top" wrapText="1"/>
    </xf>
    <xf numFmtId="0" fontId="81" fillId="0" borderId="188" xfId="0" applyNumberFormat="1" applyFont="1" applyFill="1" applyBorder="1" applyAlignment="1" applyProtection="1">
      <alignment horizontal="left" vertical="top" wrapText="1"/>
    </xf>
    <xf numFmtId="0" fontId="81" fillId="0" borderId="182" xfId="0" applyNumberFormat="1" applyFont="1" applyFill="1" applyBorder="1" applyAlignment="1" applyProtection="1">
      <alignment horizontal="left" vertical="top" wrapText="1"/>
    </xf>
    <xf numFmtId="0" fontId="81" fillId="0" borderId="198" xfId="0" applyNumberFormat="1" applyFont="1" applyFill="1" applyBorder="1" applyAlignment="1" applyProtection="1">
      <alignment horizontal="left" vertical="top" wrapText="1"/>
    </xf>
    <xf numFmtId="49" fontId="3" fillId="38" borderId="170" xfId="0" applyNumberFormat="1" applyFont="1" applyFill="1" applyBorder="1" applyAlignment="1" applyProtection="1">
      <alignment horizontal="center" vertical="center"/>
      <protection locked="0"/>
    </xf>
    <xf numFmtId="49" fontId="3" fillId="38" borderId="166" xfId="0" applyNumberFormat="1" applyFont="1" applyFill="1" applyBorder="1" applyAlignment="1" applyProtection="1">
      <alignment horizontal="center" vertical="center"/>
      <protection locked="0"/>
    </xf>
    <xf numFmtId="49" fontId="3" fillId="38" borderId="171" xfId="0" applyNumberFormat="1" applyFont="1" applyFill="1" applyBorder="1" applyAlignment="1" applyProtection="1">
      <alignment horizontal="center" vertical="center"/>
      <protection locked="0"/>
    </xf>
    <xf numFmtId="49" fontId="3" fillId="38" borderId="199" xfId="0" applyNumberFormat="1" applyFont="1" applyFill="1" applyBorder="1" applyAlignment="1" applyProtection="1">
      <alignment horizontal="center" vertical="center"/>
      <protection locked="0"/>
    </xf>
    <xf numFmtId="49" fontId="3" fillId="38" borderId="200" xfId="0" applyNumberFormat="1" applyFont="1" applyFill="1" applyBorder="1" applyAlignment="1" applyProtection="1">
      <alignment horizontal="center" vertical="center"/>
      <protection locked="0"/>
    </xf>
    <xf numFmtId="49" fontId="3" fillId="38" borderId="201" xfId="0" applyNumberFormat="1" applyFont="1" applyFill="1" applyBorder="1" applyAlignment="1" applyProtection="1">
      <alignment horizontal="center" vertical="center"/>
      <protection locked="0"/>
    </xf>
    <xf numFmtId="0" fontId="79" fillId="0" borderId="168" xfId="0" applyFont="1" applyFill="1" applyBorder="1" applyAlignment="1" applyProtection="1">
      <alignment horizontal="center"/>
    </xf>
    <xf numFmtId="0" fontId="79" fillId="0" borderId="169" xfId="0" applyFont="1" applyFill="1" applyBorder="1" applyAlignment="1" applyProtection="1">
      <alignment horizontal="center"/>
    </xf>
    <xf numFmtId="49" fontId="3" fillId="38" borderId="172" xfId="0" applyNumberFormat="1" applyFont="1" applyFill="1" applyBorder="1" applyAlignment="1" applyProtection="1">
      <alignment horizontal="center" vertical="center"/>
      <protection locked="0"/>
    </xf>
    <xf numFmtId="49" fontId="3" fillId="38" borderId="14" xfId="0" applyNumberFormat="1" applyFont="1" applyFill="1" applyBorder="1" applyAlignment="1" applyProtection="1">
      <alignment horizontal="center" vertical="center"/>
      <protection locked="0"/>
    </xf>
    <xf numFmtId="49" fontId="3" fillId="38" borderId="173" xfId="0" applyNumberFormat="1" applyFont="1" applyFill="1" applyBorder="1" applyAlignment="1" applyProtection="1">
      <alignment horizontal="center" vertical="center"/>
      <protection locked="0"/>
    </xf>
    <xf numFmtId="0" fontId="79" fillId="0" borderId="0" xfId="0" applyFont="1" applyFill="1" applyBorder="1" applyAlignment="1" applyProtection="1">
      <alignment horizontal="center"/>
    </xf>
    <xf numFmtId="0" fontId="114" fillId="24" borderId="177" xfId="0" applyFont="1" applyFill="1" applyBorder="1" applyAlignment="1" applyProtection="1">
      <alignment horizontal="center" vertical="center"/>
    </xf>
    <xf numFmtId="0" fontId="114" fillId="24" borderId="178" xfId="0" applyFont="1" applyFill="1" applyBorder="1" applyAlignment="1" applyProtection="1">
      <alignment horizontal="center" vertical="center"/>
    </xf>
    <xf numFmtId="0" fontId="0" fillId="0" borderId="178" xfId="0" applyBorder="1" applyAlignment="1">
      <alignment horizontal="center" vertical="center"/>
    </xf>
    <xf numFmtId="0" fontId="114" fillId="24" borderId="179" xfId="0" applyFont="1" applyFill="1" applyBorder="1" applyAlignment="1" applyProtection="1">
      <alignment horizontal="center" vertical="center"/>
    </xf>
    <xf numFmtId="0" fontId="114" fillId="24" borderId="180" xfId="0" applyFont="1" applyFill="1" applyBorder="1" applyAlignment="1" applyProtection="1">
      <alignment horizontal="center" vertical="center"/>
    </xf>
    <xf numFmtId="0" fontId="114" fillId="24" borderId="181" xfId="0" applyFont="1" applyFill="1" applyBorder="1" applyAlignment="1" applyProtection="1">
      <alignment horizontal="center" vertical="center"/>
    </xf>
    <xf numFmtId="0" fontId="81" fillId="0" borderId="202" xfId="0" applyNumberFormat="1" applyFont="1" applyFill="1" applyBorder="1" applyAlignment="1" applyProtection="1">
      <alignment horizontal="left" vertical="top" wrapText="1"/>
    </xf>
    <xf numFmtId="0" fontId="81" fillId="0" borderId="203" xfId="0" applyNumberFormat="1" applyFont="1" applyFill="1" applyBorder="1" applyAlignment="1" applyProtection="1">
      <alignment horizontal="left" vertical="top" wrapText="1"/>
    </xf>
    <xf numFmtId="0" fontId="3" fillId="37" borderId="162" xfId="0" applyFont="1" applyFill="1" applyBorder="1" applyAlignment="1" applyProtection="1">
      <alignment horizontal="center" vertical="top" wrapText="1"/>
      <protection locked="0"/>
    </xf>
    <xf numFmtId="0" fontId="3" fillId="37" borderId="163" xfId="0" applyFont="1" applyFill="1" applyBorder="1" applyAlignment="1" applyProtection="1">
      <alignment horizontal="center" vertical="top" wrapText="1"/>
      <protection locked="0"/>
    </xf>
    <xf numFmtId="0" fontId="3" fillId="37" borderId="164" xfId="0" applyFont="1" applyFill="1" applyBorder="1" applyAlignment="1" applyProtection="1">
      <alignment horizontal="center" vertical="top" wrapText="1"/>
      <protection locked="0"/>
    </xf>
    <xf numFmtId="0" fontId="3" fillId="0" borderId="165" xfId="57" applyNumberFormat="1" applyFont="1" applyFill="1" applyBorder="1" applyAlignment="1" applyProtection="1">
      <alignment horizontal="left" vertical="center" wrapText="1"/>
    </xf>
    <xf numFmtId="0" fontId="81" fillId="0" borderId="183" xfId="0" applyNumberFormat="1" applyFont="1" applyFill="1" applyBorder="1" applyAlignment="1" applyProtection="1">
      <alignment horizontal="left" vertical="top" wrapText="1"/>
    </xf>
    <xf numFmtId="0" fontId="81" fillId="0" borderId="204" xfId="0" applyNumberFormat="1" applyFont="1" applyFill="1" applyBorder="1" applyAlignment="1" applyProtection="1">
      <alignment horizontal="left" vertical="top" wrapText="1"/>
    </xf>
    <xf numFmtId="0" fontId="81" fillId="0" borderId="205" xfId="0" applyNumberFormat="1" applyFont="1" applyFill="1" applyBorder="1" applyAlignment="1" applyProtection="1">
      <alignment horizontal="left" vertical="top" wrapText="1"/>
    </xf>
    <xf numFmtId="0" fontId="3" fillId="36" borderId="206" xfId="0" applyFont="1" applyFill="1" applyBorder="1" applyAlignment="1" applyProtection="1">
      <alignment horizontal="center" vertical="top" wrapText="1"/>
      <protection locked="0"/>
    </xf>
    <xf numFmtId="0" fontId="3" fillId="36" borderId="207" xfId="0" applyFont="1" applyFill="1" applyBorder="1" applyAlignment="1" applyProtection="1">
      <alignment horizontal="center" vertical="top" wrapText="1"/>
      <protection locked="0"/>
    </xf>
    <xf numFmtId="0" fontId="3" fillId="36" borderId="208" xfId="0" applyFont="1" applyFill="1" applyBorder="1" applyAlignment="1" applyProtection="1">
      <alignment horizontal="center" vertical="top" wrapText="1"/>
      <protection locked="0"/>
    </xf>
    <xf numFmtId="0" fontId="3" fillId="37" borderId="159" xfId="0" applyFont="1" applyFill="1" applyBorder="1" applyAlignment="1" applyProtection="1">
      <alignment horizontal="center" vertical="top" wrapText="1"/>
      <protection locked="0"/>
    </xf>
    <xf numFmtId="0" fontId="3" fillId="37" borderId="160" xfId="0" applyFont="1" applyFill="1" applyBorder="1" applyAlignment="1" applyProtection="1">
      <alignment horizontal="center" vertical="top" wrapText="1"/>
      <protection locked="0"/>
    </xf>
    <xf numFmtId="0" fontId="3" fillId="37" borderId="161" xfId="0" applyFont="1" applyFill="1" applyBorder="1" applyAlignment="1" applyProtection="1">
      <alignment horizontal="center" vertical="top" wrapText="1"/>
      <protection locked="0"/>
    </xf>
    <xf numFmtId="0" fontId="22" fillId="0" borderId="211" xfId="0" applyFont="1" applyBorder="1" applyAlignment="1" applyProtection="1">
      <alignment horizontal="left"/>
      <protection locked="0"/>
    </xf>
    <xf numFmtId="0" fontId="22" fillId="0" borderId="228" xfId="0" applyFont="1" applyBorder="1" applyAlignment="1" applyProtection="1">
      <alignment horizontal="left"/>
      <protection locked="0"/>
    </xf>
    <xf numFmtId="0" fontId="78" fillId="21" borderId="13" xfId="54" applyNumberFormat="1" applyFont="1" applyFill="1" applyBorder="1" applyAlignment="1">
      <alignment horizontal="center" vertical="center" wrapText="1"/>
    </xf>
    <xf numFmtId="0" fontId="78" fillId="21" borderId="230" xfId="54" applyNumberFormat="1" applyFont="1" applyFill="1" applyBorder="1" applyAlignment="1">
      <alignment horizontal="center" vertical="center" wrapText="1"/>
    </xf>
    <xf numFmtId="0" fontId="22" fillId="0" borderId="216" xfId="0" applyFont="1" applyBorder="1" applyAlignment="1" applyProtection="1">
      <alignment horizontal="left"/>
      <protection locked="0"/>
    </xf>
    <xf numFmtId="0" fontId="22" fillId="0" borderId="231" xfId="0" applyFont="1" applyBorder="1" applyAlignment="1" applyProtection="1">
      <alignment horizontal="left"/>
      <protection locked="0"/>
    </xf>
    <xf numFmtId="0" fontId="22" fillId="0" borderId="38" xfId="0" applyFont="1" applyBorder="1" applyAlignment="1" applyProtection="1">
      <alignment horizontal="left"/>
      <protection locked="0"/>
    </xf>
    <xf numFmtId="0" fontId="22" fillId="0" borderId="229" xfId="0" applyFont="1" applyBorder="1" applyAlignment="1" applyProtection="1">
      <alignment horizontal="left"/>
      <protection locked="0"/>
    </xf>
    <xf numFmtId="0" fontId="22" fillId="0" borderId="211" xfId="0" applyFont="1" applyFill="1" applyBorder="1" applyAlignment="1" applyProtection="1">
      <alignment horizontal="left"/>
      <protection locked="0"/>
    </xf>
    <xf numFmtId="0" fontId="22" fillId="0" borderId="228" xfId="0" applyFont="1" applyFill="1" applyBorder="1" applyAlignment="1" applyProtection="1">
      <alignment horizontal="left"/>
      <protection locked="0"/>
    </xf>
    <xf numFmtId="0" fontId="22" fillId="0" borderId="216" xfId="0" applyFont="1" applyFill="1" applyBorder="1" applyAlignment="1" applyProtection="1">
      <alignment horizontal="left"/>
      <protection locked="0"/>
    </xf>
    <xf numFmtId="0" fontId="22" fillId="0" borderId="231" xfId="0" applyFont="1" applyFill="1" applyBorder="1" applyAlignment="1" applyProtection="1">
      <alignment horizontal="left"/>
      <protection locked="0"/>
    </xf>
    <xf numFmtId="0" fontId="22" fillId="0" borderId="166" xfId="0" applyFont="1" applyFill="1" applyBorder="1" applyAlignment="1" applyProtection="1">
      <alignment horizontal="left" vertical="center" wrapText="1"/>
      <protection locked="0"/>
    </xf>
    <xf numFmtId="0" fontId="22" fillId="0" borderId="223" xfId="0" applyFont="1" applyFill="1" applyBorder="1" applyAlignment="1" applyProtection="1">
      <alignment horizontal="left" vertical="center" wrapText="1"/>
      <protection locked="0"/>
    </xf>
    <xf numFmtId="0" fontId="22" fillId="0" borderId="232" xfId="0" applyFont="1" applyFill="1" applyBorder="1" applyAlignment="1" applyProtection="1">
      <alignment horizontal="left" vertical="top" wrapText="1"/>
      <protection locked="0"/>
    </xf>
    <xf numFmtId="0" fontId="22" fillId="0" borderId="233" xfId="0" applyFont="1" applyFill="1" applyBorder="1" applyAlignment="1" applyProtection="1">
      <alignment horizontal="left" vertical="top" wrapText="1"/>
      <protection locked="0"/>
    </xf>
    <xf numFmtId="0" fontId="22" fillId="0" borderId="234" xfId="0" applyFont="1" applyFill="1" applyBorder="1" applyAlignment="1" applyProtection="1">
      <alignment horizontal="left" vertical="top" wrapText="1"/>
      <protection locked="0"/>
    </xf>
    <xf numFmtId="0" fontId="22" fillId="0" borderId="220" xfId="0" applyFont="1" applyFill="1" applyBorder="1" applyAlignment="1" applyProtection="1">
      <alignment horizontal="left" vertical="top" wrapText="1"/>
      <protection locked="0"/>
    </xf>
    <xf numFmtId="0" fontId="22" fillId="0" borderId="200" xfId="0" applyFont="1" applyFill="1" applyBorder="1" applyAlignment="1" applyProtection="1">
      <alignment horizontal="left" vertical="top" wrapText="1"/>
      <protection locked="0"/>
    </xf>
    <xf numFmtId="0" fontId="22" fillId="0" borderId="235" xfId="0" applyFont="1" applyFill="1" applyBorder="1" applyAlignment="1" applyProtection="1">
      <alignment horizontal="left" vertical="top" wrapText="1"/>
      <protection locked="0"/>
    </xf>
    <xf numFmtId="43" fontId="16" fillId="30" borderId="0" xfId="61" applyFont="1" applyFill="1" applyBorder="1" applyAlignment="1" applyProtection="1">
      <alignment horizontal="center"/>
      <protection locked="0"/>
    </xf>
    <xf numFmtId="0" fontId="22" fillId="0" borderId="38" xfId="0" applyFont="1" applyFill="1" applyBorder="1" applyAlignment="1" applyProtection="1">
      <alignment horizontal="left"/>
      <protection locked="0"/>
    </xf>
    <xf numFmtId="0" fontId="22" fillId="0" borderId="229" xfId="0" applyFont="1" applyFill="1" applyBorder="1" applyAlignment="1" applyProtection="1">
      <alignment horizontal="left"/>
      <protection locked="0"/>
    </xf>
    <xf numFmtId="0" fontId="0" fillId="27" borderId="114" xfId="0" applyFill="1" applyBorder="1" applyAlignment="1" applyProtection="1">
      <alignment horizontal="center"/>
      <protection locked="0"/>
    </xf>
    <xf numFmtId="0" fontId="0" fillId="27" borderId="115" xfId="0" applyFill="1" applyBorder="1" applyAlignment="1" applyProtection="1">
      <alignment horizontal="center"/>
      <protection locked="0"/>
    </xf>
    <xf numFmtId="0" fontId="0" fillId="27" borderId="116" xfId="0" applyFill="1" applyBorder="1" applyAlignment="1" applyProtection="1">
      <alignment horizontal="center"/>
      <protection locked="0"/>
    </xf>
    <xf numFmtId="0" fontId="0" fillId="27" borderId="66" xfId="0" applyFill="1" applyBorder="1" applyAlignment="1" applyProtection="1">
      <alignment horizontal="center"/>
      <protection locked="0"/>
    </xf>
    <xf numFmtId="0" fontId="0" fillId="27" borderId="104" xfId="0" applyFill="1" applyBorder="1" applyAlignment="1" applyProtection="1">
      <alignment horizontal="center"/>
      <protection locked="0"/>
    </xf>
    <xf numFmtId="0" fontId="0" fillId="27" borderId="106" xfId="0" applyFill="1" applyBorder="1" applyAlignment="1" applyProtection="1">
      <alignment horizontal="center"/>
      <protection locked="0"/>
    </xf>
    <xf numFmtId="0" fontId="78" fillId="21" borderId="212" xfId="54" applyNumberFormat="1" applyFont="1" applyFill="1" applyBorder="1" applyAlignment="1">
      <alignment horizontal="center" vertical="center" wrapText="1"/>
    </xf>
    <xf numFmtId="0" fontId="78" fillId="21" borderId="213" xfId="54" applyNumberFormat="1" applyFont="1" applyFill="1" applyBorder="1" applyAlignment="1">
      <alignment horizontal="center" vertical="center" wrapText="1"/>
    </xf>
    <xf numFmtId="0" fontId="78" fillId="21" borderId="214" xfId="54" applyNumberFormat="1" applyFont="1" applyFill="1" applyBorder="1" applyAlignment="1">
      <alignment horizontal="center" vertical="center" wrapText="1"/>
    </xf>
    <xf numFmtId="0" fontId="78" fillId="21" borderId="209" xfId="54" applyNumberFormat="1" applyFont="1" applyFill="1" applyBorder="1" applyAlignment="1">
      <alignment horizontal="center" vertical="center" wrapText="1"/>
    </xf>
    <xf numFmtId="0" fontId="22" fillId="0" borderId="210" xfId="0" applyFont="1" applyBorder="1" applyAlignment="1" applyProtection="1">
      <alignment horizontal="left"/>
      <protection locked="0"/>
    </xf>
    <xf numFmtId="0" fontId="22" fillId="0" borderId="215" xfId="0" applyFont="1" applyBorder="1" applyAlignment="1" applyProtection="1">
      <alignment horizontal="left"/>
      <protection locked="0"/>
    </xf>
    <xf numFmtId="0" fontId="22" fillId="0" borderId="222" xfId="0" applyFont="1" applyFill="1" applyBorder="1" applyAlignment="1" applyProtection="1">
      <alignment horizontal="left"/>
      <protection locked="0"/>
    </xf>
    <xf numFmtId="0" fontId="22" fillId="0" borderId="166" xfId="0" applyFont="1" applyFill="1" applyBorder="1" applyAlignment="1" applyProtection="1">
      <alignment horizontal="left"/>
      <protection locked="0"/>
    </xf>
    <xf numFmtId="0" fontId="22" fillId="0" borderId="223" xfId="0" applyFont="1" applyFill="1" applyBorder="1" applyAlignment="1" applyProtection="1">
      <alignment horizontal="left"/>
      <protection locked="0"/>
    </xf>
    <xf numFmtId="0" fontId="93" fillId="21" borderId="112" xfId="0" applyFont="1" applyFill="1" applyBorder="1" applyAlignment="1">
      <alignment horizontal="center" vertical="center" textRotation="90"/>
    </xf>
    <xf numFmtId="0" fontId="0" fillId="21" borderId="91" xfId="0" applyFill="1" applyBorder="1" applyAlignment="1">
      <alignment horizontal="center" vertical="center" textRotation="90"/>
    </xf>
    <xf numFmtId="0" fontId="0" fillId="21" borderId="107" xfId="0" applyFill="1" applyBorder="1" applyAlignment="1">
      <alignment horizontal="center" vertical="center" textRotation="90"/>
    </xf>
    <xf numFmtId="0" fontId="22" fillId="0" borderId="227" xfId="0" applyFont="1" applyFill="1" applyBorder="1" applyAlignment="1" applyProtection="1">
      <alignment horizontal="left"/>
      <protection locked="0"/>
    </xf>
    <xf numFmtId="0" fontId="22" fillId="0" borderId="210" xfId="0" applyFont="1" applyFill="1" applyBorder="1" applyAlignment="1" applyProtection="1">
      <alignment horizontal="left"/>
      <protection locked="0"/>
    </xf>
    <xf numFmtId="0" fontId="22" fillId="0" borderId="225" xfId="0" applyFont="1" applyFill="1" applyBorder="1" applyAlignment="1" applyProtection="1">
      <alignment horizontal="left" vertical="center" wrapText="1"/>
      <protection locked="0"/>
    </xf>
    <xf numFmtId="0" fontId="22" fillId="0" borderId="226" xfId="0" applyFont="1" applyFill="1" applyBorder="1" applyAlignment="1" applyProtection="1">
      <alignment horizontal="left" vertical="center" wrapText="1"/>
      <protection locked="0"/>
    </xf>
    <xf numFmtId="0" fontId="34" fillId="0" borderId="0" xfId="0" applyFont="1" applyAlignment="1">
      <alignment horizontal="center"/>
    </xf>
    <xf numFmtId="0" fontId="22" fillId="0" borderId="215" xfId="0" applyFont="1" applyFill="1" applyBorder="1" applyAlignment="1" applyProtection="1">
      <alignment horizontal="left"/>
      <protection locked="0"/>
    </xf>
    <xf numFmtId="0" fontId="22" fillId="0" borderId="217" xfId="0" applyFont="1" applyFill="1" applyBorder="1" applyAlignment="1" applyProtection="1">
      <alignment horizontal="left" vertical="top" wrapText="1"/>
      <protection locked="0"/>
    </xf>
    <xf numFmtId="0" fontId="22" fillId="0" borderId="218" xfId="0" applyFont="1" applyFill="1" applyBorder="1" applyAlignment="1" applyProtection="1">
      <alignment horizontal="left" vertical="top" wrapText="1"/>
      <protection locked="0"/>
    </xf>
    <xf numFmtId="0" fontId="22" fillId="0" borderId="219" xfId="0" applyFont="1" applyFill="1" applyBorder="1" applyAlignment="1" applyProtection="1">
      <alignment horizontal="left" vertical="top" wrapText="1"/>
      <protection locked="0"/>
    </xf>
    <xf numFmtId="0" fontId="22" fillId="0" borderId="221" xfId="0" applyFont="1" applyFill="1" applyBorder="1" applyAlignment="1" applyProtection="1">
      <alignment horizontal="left" vertical="top" wrapText="1"/>
      <protection locked="0"/>
    </xf>
    <xf numFmtId="0" fontId="22" fillId="0" borderId="224" xfId="0" applyFont="1" applyFill="1" applyBorder="1" applyAlignment="1" applyProtection="1">
      <alignment horizontal="left"/>
      <protection locked="0"/>
    </xf>
    <xf numFmtId="0" fontId="22" fillId="0" borderId="225" xfId="0" applyFont="1" applyFill="1" applyBorder="1" applyAlignment="1" applyProtection="1">
      <alignment horizontal="left"/>
      <protection locked="0"/>
    </xf>
    <xf numFmtId="0" fontId="22" fillId="0" borderId="226" xfId="0" applyFont="1" applyFill="1" applyBorder="1" applyAlignment="1" applyProtection="1">
      <alignment horizontal="left"/>
      <protection locked="0"/>
    </xf>
    <xf numFmtId="0" fontId="22" fillId="0" borderId="227" xfId="0" applyFont="1" applyBorder="1" applyAlignment="1" applyProtection="1">
      <alignment horizontal="left"/>
      <protection locked="0"/>
    </xf>
    <xf numFmtId="43" fontId="18" fillId="31" borderId="0" xfId="40" applyFont="1" applyFill="1" applyAlignment="1">
      <alignment horizontal="center" vertical="center"/>
    </xf>
    <xf numFmtId="9" fontId="0" fillId="0" borderId="112" xfId="57" applyFont="1" applyFill="1" applyBorder="1" applyAlignment="1" applyProtection="1">
      <alignment wrapText="1"/>
      <protection locked="0"/>
    </xf>
  </cellXfs>
  <cellStyles count="128">
    <cellStyle name="20% - Accent1" xfId="1"/>
    <cellStyle name="20% - Accent1 2" xfId="69"/>
    <cellStyle name="20% - Accent2" xfId="2"/>
    <cellStyle name="20% - Accent2 2" xfId="70"/>
    <cellStyle name="20% - Accent3" xfId="3"/>
    <cellStyle name="20% - Accent3 2" xfId="71"/>
    <cellStyle name="20% - Accent4" xfId="4"/>
    <cellStyle name="20% - Accent4 2" xfId="72"/>
    <cellStyle name="20% - Accent5" xfId="5"/>
    <cellStyle name="20% - Accent5 2" xfId="73"/>
    <cellStyle name="20% - Accent6" xfId="6"/>
    <cellStyle name="20% - Accent6 2" xfId="74"/>
    <cellStyle name="40% - Accent1" xfId="7"/>
    <cellStyle name="40% - Accent1 2" xfId="75"/>
    <cellStyle name="40% - Accent2" xfId="8"/>
    <cellStyle name="40% - Accent2 2" xfId="76"/>
    <cellStyle name="40% - Accent3" xfId="9"/>
    <cellStyle name="40% - Accent3 2" xfId="77"/>
    <cellStyle name="40% - Accent4" xfId="10"/>
    <cellStyle name="40% - Accent4 2" xfId="78"/>
    <cellStyle name="40% - Accent5" xfId="11"/>
    <cellStyle name="40% - Accent5 2" xfId="79"/>
    <cellStyle name="40% - Accent6" xfId="12"/>
    <cellStyle name="40% - Accent6 2" xfId="80"/>
    <cellStyle name="60% - Accent1" xfId="13"/>
    <cellStyle name="60% - Accent1 2" xfId="81"/>
    <cellStyle name="60% - Accent2" xfId="14"/>
    <cellStyle name="60% - Accent2 2" xfId="82"/>
    <cellStyle name="60% - Accent3" xfId="15"/>
    <cellStyle name="60% - Accent3 2" xfId="83"/>
    <cellStyle name="60% - Accent4" xfId="16"/>
    <cellStyle name="60% - Accent4 2" xfId="84"/>
    <cellStyle name="60% - Accent5" xfId="17"/>
    <cellStyle name="60% - Accent5 2" xfId="85"/>
    <cellStyle name="60% - Accent6" xfId="18"/>
    <cellStyle name="60% - Accent6 2" xfId="86"/>
    <cellStyle name="Accent1" xfId="19"/>
    <cellStyle name="Accent1 2" xfId="87"/>
    <cellStyle name="Accent2" xfId="20"/>
    <cellStyle name="Accent2 2" xfId="88"/>
    <cellStyle name="Accent3" xfId="21"/>
    <cellStyle name="Accent3 2" xfId="89"/>
    <cellStyle name="Accent4" xfId="22"/>
    <cellStyle name="Accent4 2" xfId="90"/>
    <cellStyle name="Accent5" xfId="23"/>
    <cellStyle name="Accent5 2" xfId="91"/>
    <cellStyle name="Accent6" xfId="24"/>
    <cellStyle name="Accent6 2" xfId="92"/>
    <cellStyle name="Bad" xfId="25"/>
    <cellStyle name="Bad 2" xfId="93"/>
    <cellStyle name="Calculation" xfId="26"/>
    <cellStyle name="Calculation 2" xfId="94"/>
    <cellStyle name="Check Cell" xfId="27"/>
    <cellStyle name="Check Cell 2" xfId="95"/>
    <cellStyle name="Comma" xfId="28" builtinId="3"/>
    <cellStyle name="Comma 2" xfId="96"/>
    <cellStyle name="Comma 2 2" xfId="111"/>
    <cellStyle name="Comma 3" xfId="68"/>
    <cellStyle name="Comma 3 2" xfId="113"/>
    <cellStyle name="Comma 3 3" xfId="112"/>
    <cellStyle name="Comma 4" xfId="114"/>
    <cellStyle name="Comma 5" xfId="115"/>
    <cellStyle name="Comma 5 2" xfId="127"/>
    <cellStyle name="Comma 6" xfId="116"/>
    <cellStyle name="Comma 7" xfId="126"/>
    <cellStyle name="Comma 8" xfId="117"/>
    <cellStyle name="Currency" xfId="29" builtinId="4"/>
    <cellStyle name="Currency 2" xfId="97"/>
    <cellStyle name="Euro" xfId="30"/>
    <cellStyle name="Explanatory Text" xfId="31"/>
    <cellStyle name="Explanatory Text 2" xfId="98"/>
    <cellStyle name="Followed Hyperlink" xfId="65" builtinId="9" hidden="1"/>
    <cellStyle name="Followed Hyperlink" xfId="67" builtinId="9" hidden="1"/>
    <cellStyle name="Good" xfId="32"/>
    <cellStyle name="Good 2" xfId="99"/>
    <cellStyle name="Heading 1" xfId="33"/>
    <cellStyle name="Heading 1 2" xfId="100"/>
    <cellStyle name="Heading 2" xfId="34"/>
    <cellStyle name="Heading 2 2" xfId="101"/>
    <cellStyle name="Heading 3" xfId="35"/>
    <cellStyle name="Heading 3 2" xfId="102"/>
    <cellStyle name="Heading 4" xfId="36"/>
    <cellStyle name="Heading 4 2" xfId="103"/>
    <cellStyle name="Hyperlink" xfId="64" builtinId="8" hidden="1"/>
    <cellStyle name="Hyperlink" xfId="66" builtinId="8" hidden="1"/>
    <cellStyle name="Hyperlink 2" xfId="125"/>
    <cellStyle name="Input" xfId="37"/>
    <cellStyle name="Input 2" xfId="104"/>
    <cellStyle name="Linked Cell" xfId="38"/>
    <cellStyle name="Linked Cell 2" xfId="105"/>
    <cellStyle name="Millares 2" xfId="39"/>
    <cellStyle name="Normal" xfId="0" builtinId="0"/>
    <cellStyle name="Normal 2" xfId="40"/>
    <cellStyle name="Normal 2 2" xfId="41"/>
    <cellStyle name="Normal 2 3" xfId="42"/>
    <cellStyle name="Normal 2 4" xfId="43"/>
    <cellStyle name="Normal 2 5" xfId="44"/>
    <cellStyle name="Normal 2 6" xfId="45"/>
    <cellStyle name="Normal 2 7" xfId="46"/>
    <cellStyle name="Normal 2 8" xfId="47"/>
    <cellStyle name="Normal 2_Dashboard ver 2.2 ES" xfId="48"/>
    <cellStyle name="Normal 2_Prototipo" xfId="49"/>
    <cellStyle name="Normal 3" xfId="50"/>
    <cellStyle name="Normal 3 2" xfId="118"/>
    <cellStyle name="Normal 4" xfId="51"/>
    <cellStyle name="Normal 4 2" xfId="120"/>
    <cellStyle name="Normal 4 3" xfId="119"/>
    <cellStyle name="Normal 5" xfId="52"/>
    <cellStyle name="Normal 5 2" xfId="121"/>
    <cellStyle name="Normal 6" xfId="53"/>
    <cellStyle name="Normal 6 2" xfId="122"/>
    <cellStyle name="Normal_TZ_R3HIV_Phase_2_21_August_08" xfId="54"/>
    <cellStyle name="Note" xfId="55"/>
    <cellStyle name="Note 2" xfId="106"/>
    <cellStyle name="Output" xfId="56"/>
    <cellStyle name="Output 2" xfId="107"/>
    <cellStyle name="Percent" xfId="57" builtinId="5"/>
    <cellStyle name="Percent 2" xfId="108"/>
    <cellStyle name="Percent 2 2" xfId="123"/>
    <cellStyle name="Percent 3" xfId="124"/>
    <cellStyle name="Title" xfId="58"/>
    <cellStyle name="Title 2" xfId="109"/>
    <cellStyle name="Título 3 3" xfId="59"/>
    <cellStyle name="Título 3 3_Prototipo" xfId="60"/>
    <cellStyle name="Título 3 3_PrototipoRep1" xfId="61"/>
    <cellStyle name="Título 3 7" xfId="62"/>
    <cellStyle name="Warning Text" xfId="63"/>
    <cellStyle name="Warning Text 2" xfId="110"/>
  </cellStyles>
  <dxfs count="53">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14"/>
        </patternFill>
      </fill>
    </dxf>
    <dxf>
      <font>
        <condense val="0"/>
        <extend val="0"/>
        <color auto="1"/>
      </font>
      <fill>
        <patternFill>
          <bgColor indexed="11"/>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5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'Data Entry'!$C$33:$N$33</c:f>
              <c:numCache>
                <c:formatCode>#,##0</c:formatCode>
                <c:ptCount val="12"/>
                <c:pt idx="0">
                  <c:v>1536486.0199999998</c:v>
                </c:pt>
                <c:pt idx="1">
                  <c:v>4664236.9400000004</c:v>
                </c:pt>
                <c:pt idx="2">
                  <c:v>0</c:v>
                </c:pt>
                <c:pt idx="3">
                  <c:v>0</c:v>
                </c:pt>
                <c:pt idx="4">
                  <c:v>0</c:v>
                </c:pt>
                <c:pt idx="5">
                  <c:v>0</c:v>
                </c:pt>
                <c:pt idx="6">
                  <c:v>0</c:v>
                </c:pt>
                <c:pt idx="7">
                  <c:v>0</c:v>
                </c:pt>
                <c:pt idx="8">
                  <c:v>0</c:v>
                </c:pt>
                <c:pt idx="9">
                  <c:v>0</c:v>
                </c:pt>
                <c:pt idx="10">
                  <c:v>0</c:v>
                </c:pt>
                <c:pt idx="11">
                  <c:v>0</c:v>
                </c:pt>
              </c:numCache>
            </c:numRef>
          </c:val>
        </c:ser>
        <c:ser>
          <c:idx val="1"/>
          <c:order val="1"/>
          <c:tx>
            <c:strRef>
              <c:f>'Data Entry'!$B$34</c:f>
              <c:strCache>
                <c:ptCount val="1"/>
                <c:pt idx="0">
                  <c:v>Cumulative disbursements</c:v>
                </c:pt>
              </c:strCache>
            </c:strRef>
          </c:tx>
          <c:spPr>
            <a:solidFill>
              <a:srgbClr val="99CCFF"/>
            </a:solidFill>
            <a:ln w="3175">
              <a:solidFill>
                <a:srgbClr val="000000"/>
              </a:solidFill>
              <a:prstDash val="solid"/>
            </a:ln>
          </c:spPr>
          <c:invertIfNegative val="0"/>
          <c:val>
            <c:numRef>
              <c:f>'Data Entry'!$C$34:$N$34</c:f>
              <c:numCache>
                <c:formatCode>#,##0</c:formatCode>
                <c:ptCount val="12"/>
                <c:pt idx="0">
                  <c:v>0</c:v>
                </c:pt>
                <c:pt idx="1">
                  <c:v>6719929</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70"/>
        <c:axId val="-757966832"/>
        <c:axId val="-757960848"/>
      </c:barChart>
      <c:catAx>
        <c:axId val="-75796683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757960848"/>
        <c:crosses val="autoZero"/>
        <c:auto val="1"/>
        <c:lblAlgn val="ctr"/>
        <c:lblOffset val="100"/>
        <c:tickLblSkip val="1"/>
        <c:tickMarkSkip val="1"/>
        <c:noMultiLvlLbl val="0"/>
      </c:catAx>
      <c:valAx>
        <c:axId val="-75796084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757966832"/>
        <c:crosses val="autoZero"/>
        <c:crossBetween val="between"/>
      </c:valAx>
      <c:spPr>
        <a:solidFill>
          <a:srgbClr val="FFFFFF"/>
        </a:solidFill>
        <a:ln w="3175">
          <a:solidFill>
            <a:srgbClr val="000000"/>
          </a:solidFill>
          <a:prstDash val="solid"/>
        </a:ln>
      </c:spPr>
    </c:plotArea>
    <c:legend>
      <c:legendPos val="r"/>
      <c:layout>
        <c:manualLayout>
          <c:xMode val="edge"/>
          <c:yMode val="edge"/>
          <c:x val="0.144167869068722"/>
          <c:y val="0.88209606986899602"/>
          <c:w val="0.84665787195448905"/>
          <c:h val="0.10480349344978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6001"/>
          <c:y val="0.121547289222444"/>
          <c:w val="0.60327318841303301"/>
          <c:h val="0.55248767828383605"/>
        </c:manualLayout>
      </c:layout>
      <c:barChart>
        <c:barDir val="bar"/>
        <c:grouping val="percentStacked"/>
        <c:varyColors val="0"/>
        <c:ser>
          <c:idx val="1"/>
          <c:order val="0"/>
          <c:tx>
            <c:strRef>
              <c:f>'Data Entry'!$D$92</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Entry'!$B$93:$B$94</c:f>
              <c:strCache>
                <c:ptCount val="2"/>
                <c:pt idx="0">
                  <c:v>SSR to SR</c:v>
                </c:pt>
                <c:pt idx="1">
                  <c:v>SRs to PR</c:v>
                </c:pt>
              </c:strCache>
            </c:strRef>
          </c:cat>
          <c:val>
            <c:numRef>
              <c:f>'Data Entry'!$D$93:$D$94</c:f>
              <c:numCache>
                <c:formatCode>0</c:formatCode>
                <c:ptCount val="2"/>
                <c:pt idx="0">
                  <c:v>0</c:v>
                </c:pt>
                <c:pt idx="1">
                  <c:v>0</c:v>
                </c:pt>
              </c:numCache>
            </c:numRef>
          </c:val>
        </c:ser>
        <c:ser>
          <c:idx val="2"/>
          <c:order val="1"/>
          <c:tx>
            <c:strRef>
              <c:f>'Data Entry'!$E$92</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Entry'!$B$93:$B$94</c:f>
              <c:strCache>
                <c:ptCount val="2"/>
                <c:pt idx="0">
                  <c:v>SSR to SR</c:v>
                </c:pt>
                <c:pt idx="1">
                  <c:v>SRs to PR</c:v>
                </c:pt>
              </c:strCache>
            </c:strRef>
          </c:cat>
          <c:val>
            <c:numRef>
              <c:f>'Data Entry'!$E$93:$E$94</c:f>
              <c:numCache>
                <c:formatCode>0</c:formatCode>
                <c:ptCount val="2"/>
                <c:pt idx="0">
                  <c:v>0</c:v>
                </c:pt>
                <c:pt idx="1">
                  <c:v>0</c:v>
                </c:pt>
              </c:numCache>
            </c:numRef>
          </c:val>
        </c:ser>
        <c:dLbls>
          <c:showLegendKey val="0"/>
          <c:showVal val="0"/>
          <c:showCatName val="0"/>
          <c:showSerName val="0"/>
          <c:showPercent val="0"/>
          <c:showBubbleSize val="0"/>
        </c:dLbls>
        <c:gapWidth val="101"/>
        <c:overlap val="100"/>
        <c:axId val="-631417232"/>
        <c:axId val="-631422672"/>
      </c:barChart>
      <c:catAx>
        <c:axId val="-63141723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31422672"/>
        <c:crosses val="autoZero"/>
        <c:auto val="1"/>
        <c:lblAlgn val="ctr"/>
        <c:lblOffset val="100"/>
        <c:noMultiLvlLbl val="0"/>
      </c:catAx>
      <c:valAx>
        <c:axId val="-63142267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31417232"/>
        <c:crosses val="max"/>
        <c:crossBetween val="between"/>
      </c:valAx>
    </c:plotArea>
    <c:legend>
      <c:legendPos val="r"/>
      <c:layout>
        <c:manualLayout>
          <c:xMode val="edge"/>
          <c:yMode val="edge"/>
          <c:x val="0.31839426523297698"/>
          <c:y val="0.80991776027996298"/>
          <c:w val="0.35496650015522302"/>
          <c:h val="0.13223097112860899"/>
        </c:manualLayout>
      </c:layout>
      <c:overlay val="0"/>
      <c:spPr>
        <a:noFill/>
        <a:ln w="25400">
          <a:noFill/>
        </a:ln>
      </c:spPr>
      <c:txPr>
        <a:bodyPr/>
        <a:lstStyle/>
        <a:p>
          <a:pPr>
            <a:defRPr sz="75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 r="0.750000000000001"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101"/>
          <c:y val="0.10989010989011"/>
          <c:w val="0.81094724363350601"/>
          <c:h val="0.54395604395604402"/>
        </c:manualLayout>
      </c:layout>
      <c:lineChart>
        <c:grouping val="standard"/>
        <c:varyColors val="0"/>
        <c:ser>
          <c:idx val="0"/>
          <c:order val="0"/>
          <c:tx>
            <c:strRef>
              <c:f>'Data Entry'!$B$102</c:f>
              <c:strCache>
                <c:ptCount val="1"/>
                <c:pt idx="0">
                  <c:v>Cumulative Budget Approved*</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Entry'!$C$102:$N$102</c:f>
              <c:numCache>
                <c:formatCode>#,##0</c:formatCode>
                <c:ptCount val="12"/>
                <c:pt idx="0">
                  <c:v>24412.15</c:v>
                </c:pt>
                <c:pt idx="1">
                  <c:v>60212.170000000006</c:v>
                </c:pt>
                <c:pt idx="2">
                  <c:v>60212.170000000006</c:v>
                </c:pt>
                <c:pt idx="3">
                  <c:v>60212.170000000006</c:v>
                </c:pt>
                <c:pt idx="4">
                  <c:v>60212.170000000006</c:v>
                </c:pt>
                <c:pt idx="5">
                  <c:v>60212.170000000006</c:v>
                </c:pt>
                <c:pt idx="6">
                  <c:v>60212.170000000006</c:v>
                </c:pt>
                <c:pt idx="7">
                  <c:v>60212.170000000006</c:v>
                </c:pt>
                <c:pt idx="8">
                  <c:v>60212.170000000006</c:v>
                </c:pt>
                <c:pt idx="9">
                  <c:v>60212.170000000006</c:v>
                </c:pt>
                <c:pt idx="10">
                  <c:v>60212.170000000006</c:v>
                </c:pt>
                <c:pt idx="11">
                  <c:v>60212.170000000006</c:v>
                </c:pt>
              </c:numCache>
            </c:numRef>
          </c:val>
          <c:smooth val="0"/>
        </c:ser>
        <c:ser>
          <c:idx val="1"/>
          <c:order val="1"/>
          <c:tx>
            <c:strRef>
              <c:f>'Data Entry'!$B$103</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Entry'!$C$103:$N$103</c:f>
              <c:numCache>
                <c:formatCode>#,##0</c:formatCode>
                <c:ptCount val="12"/>
                <c:pt idx="0">
                  <c:v>5088011.34</c:v>
                </c:pt>
                <c:pt idx="1">
                  <c:v>5088011.34</c:v>
                </c:pt>
                <c:pt idx="2">
                  <c:v>5088011.34</c:v>
                </c:pt>
                <c:pt idx="3">
                  <c:v>5088011.34</c:v>
                </c:pt>
                <c:pt idx="4">
                  <c:v>5088011.34</c:v>
                </c:pt>
                <c:pt idx="5">
                  <c:v>5088011.34</c:v>
                </c:pt>
                <c:pt idx="6">
                  <c:v>5088011.34</c:v>
                </c:pt>
                <c:pt idx="7">
                  <c:v>5088011.34</c:v>
                </c:pt>
                <c:pt idx="8">
                  <c:v>5088011.34</c:v>
                </c:pt>
                <c:pt idx="9">
                  <c:v>5088011.34</c:v>
                </c:pt>
                <c:pt idx="10">
                  <c:v>5088011.34</c:v>
                </c:pt>
                <c:pt idx="11">
                  <c:v>5088011.34</c:v>
                </c:pt>
              </c:numCache>
            </c:numRef>
          </c:val>
          <c:smooth val="0"/>
        </c:ser>
        <c:ser>
          <c:idx val="2"/>
          <c:order val="2"/>
          <c:tx>
            <c:strRef>
              <c:f>'Data Entry'!$B$104</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Entry'!$C$104:$N$104</c:f>
              <c:numCache>
                <c:formatCode>#,##0</c:formatCode>
                <c:ptCount val="12"/>
                <c:pt idx="0">
                  <c:v>29446.19</c:v>
                </c:pt>
                <c:pt idx="1">
                  <c:v>5120476.54</c:v>
                </c:pt>
                <c:pt idx="2">
                  <c:v>5120476.54</c:v>
                </c:pt>
                <c:pt idx="3">
                  <c:v>5120476.54</c:v>
                </c:pt>
                <c:pt idx="4">
                  <c:v>5120476.54</c:v>
                </c:pt>
                <c:pt idx="5">
                  <c:v>5120476.54</c:v>
                </c:pt>
                <c:pt idx="6">
                  <c:v>5120476.54</c:v>
                </c:pt>
                <c:pt idx="7">
                  <c:v>5120476.54</c:v>
                </c:pt>
                <c:pt idx="8">
                  <c:v>5120476.54</c:v>
                </c:pt>
                <c:pt idx="9">
                  <c:v>5120476.54</c:v>
                </c:pt>
                <c:pt idx="10">
                  <c:v>5120476.54</c:v>
                </c:pt>
                <c:pt idx="11">
                  <c:v>5120476.54</c:v>
                </c:pt>
              </c:numCache>
            </c:numRef>
          </c:val>
          <c:smooth val="0"/>
        </c:ser>
        <c:dLbls>
          <c:showLegendKey val="0"/>
          <c:showVal val="0"/>
          <c:showCatName val="0"/>
          <c:showSerName val="0"/>
          <c:showPercent val="0"/>
          <c:showBubbleSize val="0"/>
        </c:dLbls>
        <c:marker val="1"/>
        <c:smooth val="0"/>
        <c:axId val="-631420496"/>
        <c:axId val="-631414512"/>
      </c:lineChart>
      <c:catAx>
        <c:axId val="-631420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31414512"/>
        <c:crosses val="autoZero"/>
        <c:auto val="1"/>
        <c:lblAlgn val="ctr"/>
        <c:lblOffset val="100"/>
        <c:tickLblSkip val="1"/>
        <c:tickMarkSkip val="1"/>
        <c:noMultiLvlLbl val="0"/>
      </c:catAx>
      <c:valAx>
        <c:axId val="-63141451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631420496"/>
        <c:crosses val="autoZero"/>
        <c:crossBetween val="between"/>
      </c:valAx>
      <c:spPr>
        <a:solidFill>
          <a:srgbClr val="FFFFFF"/>
        </a:solidFill>
        <a:ln w="12700">
          <a:solidFill>
            <a:srgbClr val="808080"/>
          </a:solidFill>
          <a:prstDash val="solid"/>
        </a:ln>
      </c:spPr>
    </c:plotArea>
    <c:legend>
      <c:legendPos val="r"/>
      <c:layout>
        <c:manualLayout>
          <c:xMode val="edge"/>
          <c:yMode val="edge"/>
          <c:x val="6.2189315887752797E-2"/>
          <c:y val="0.69780219780219799"/>
          <c:w val="0.922887922591766"/>
          <c:h val="0.175824175824176"/>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layout>
        <c:manualLayout>
          <c:xMode val="edge"/>
          <c:yMode val="edge"/>
          <c:x val="0"/>
          <c:y val="0"/>
        </c:manualLayout>
      </c:layout>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1536486.0199999998</c:v>
                </c:pt>
                <c:pt idx="1">
                  <c:v>4664236.9400000004</c:v>
                </c:pt>
                <c:pt idx="2">
                  <c:v>0</c:v>
                </c:pt>
                <c:pt idx="3">
                  <c:v>0</c:v>
                </c:pt>
                <c:pt idx="4">
                  <c:v>0</c:v>
                </c:pt>
                <c:pt idx="5">
                  <c:v>0</c:v>
                </c:pt>
                <c:pt idx="6">
                  <c:v>0</c:v>
                </c:pt>
                <c:pt idx="7">
                  <c:v>0</c:v>
                </c:pt>
                <c:pt idx="8">
                  <c:v>0</c:v>
                </c:pt>
                <c:pt idx="9">
                  <c:v>0</c:v>
                </c:pt>
                <c:pt idx="10">
                  <c:v>0</c:v>
                </c:pt>
              </c:numCache>
            </c:numRef>
          </c:val>
        </c:ser>
        <c:ser>
          <c:idx val="1"/>
          <c:order val="1"/>
          <c:tx>
            <c:strRef>
              <c:f>'Data Entry'!$B$34</c:f>
              <c:strCache>
                <c:ptCount val="1"/>
                <c:pt idx="0">
                  <c:v>Cumulative disbursements</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0</c:v>
                </c:pt>
                <c:pt idx="1">
                  <c:v>6719929</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631412880"/>
        <c:axId val="-631419952"/>
      </c:areaChart>
      <c:catAx>
        <c:axId val="-631412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631419952"/>
        <c:crosses val="autoZero"/>
        <c:auto val="1"/>
        <c:lblAlgn val="ctr"/>
        <c:lblOffset val="100"/>
        <c:tickLblSkip val="8"/>
        <c:tickMarkSkip val="1"/>
        <c:noMultiLvlLbl val="0"/>
      </c:catAx>
      <c:valAx>
        <c:axId val="-63141995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31412880"/>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6904"/>
        </c:manualLayout>
      </c:layout>
      <c:barChart>
        <c:barDir val="col"/>
        <c:grouping val="stacked"/>
        <c:varyColors val="0"/>
        <c:ser>
          <c:idx val="0"/>
          <c:order val="0"/>
          <c:spPr>
            <a:solidFill>
              <a:srgbClr val="0066CC"/>
            </a:solidFill>
            <a:ln w="3175">
              <a:solidFill>
                <a:srgbClr val="000000"/>
              </a:solidFill>
              <a:prstDash val="solid"/>
            </a:ln>
          </c:spPr>
          <c:invertIfNegative val="0"/>
          <c:cat>
            <c:strRef>
              <c:f>'Data Entry'!$B$56:$B$59</c:f>
              <c:strCache>
                <c:ptCount val="4"/>
                <c:pt idx="0">
                  <c:v>Disbursed by Global Fund</c:v>
                </c:pt>
                <c:pt idx="1">
                  <c:v>PR expenditure </c:v>
                </c:pt>
                <c:pt idx="2">
                  <c:v>Disbursed to SRs</c:v>
                </c:pt>
                <c:pt idx="3">
                  <c:v>SR expenditures</c:v>
                </c:pt>
              </c:strCache>
            </c:strRef>
          </c:cat>
          <c:val>
            <c:numRef>
              <c:f>'Data Entry'!$C$56:$C$59</c:f>
              <c:numCache>
                <c:formatCode>#,##0</c:formatCode>
                <c:ptCount val="4"/>
                <c:pt idx="0">
                  <c:v>0</c:v>
                </c:pt>
                <c:pt idx="1">
                  <c:v>824296.95999999996</c:v>
                </c:pt>
                <c:pt idx="2">
                  <c:v>0</c:v>
                </c:pt>
                <c:pt idx="3">
                  <c:v>0</c:v>
                </c:pt>
              </c:numCache>
            </c:numRef>
          </c:val>
        </c:ser>
        <c:ser>
          <c:idx val="1"/>
          <c:order val="1"/>
          <c:spPr>
            <a:solidFill>
              <a:srgbClr val="CCFFFF"/>
            </a:solidFill>
            <a:ln w="1270">
              <a:solidFill>
                <a:schemeClr val="tx1"/>
              </a:solidFill>
              <a:prstDash val="solid"/>
              <a:miter lim="800000"/>
            </a:ln>
            <a:scene3d>
              <a:camera prst="orthographicFront"/>
              <a:lightRig rig="threePt" dir="t">
                <a:rot lat="0" lon="0" rev="1200000"/>
              </a:lightRig>
            </a:scene3d>
            <a:sp3d/>
          </c:spPr>
          <c:invertIfNegative val="0"/>
          <c:cat>
            <c:strRef>
              <c:f>'Data Entry'!$B$56:$B$59</c:f>
              <c:strCache>
                <c:ptCount val="4"/>
                <c:pt idx="0">
                  <c:v>Disbursed by Global Fund</c:v>
                </c:pt>
                <c:pt idx="1">
                  <c:v>PR expenditure </c:v>
                </c:pt>
                <c:pt idx="2">
                  <c:v>Disbursed to SRs</c:v>
                </c:pt>
                <c:pt idx="3">
                  <c:v>SR expenditures</c:v>
                </c:pt>
              </c:strCache>
            </c:strRef>
          </c:cat>
          <c:val>
            <c:numRef>
              <c:f>'Data Entry'!$D$56:$D$59</c:f>
              <c:numCache>
                <c:formatCode>_(* #,##0.00_);_(* \(#,##0.00\);_(* "-"??_);_(@_)</c:formatCode>
                <c:ptCount val="4"/>
                <c:pt idx="0">
                  <c:v>6719929</c:v>
                </c:pt>
                <c:pt idx="1">
                  <c:v>6943714.4499999993</c:v>
                </c:pt>
                <c:pt idx="2" formatCode="#,##0">
                  <c:v>0</c:v>
                </c:pt>
                <c:pt idx="3" formatCode="#,##0">
                  <c:v>0</c:v>
                </c:pt>
              </c:numCache>
            </c:numRef>
          </c:val>
        </c:ser>
        <c:dLbls>
          <c:showLegendKey val="0"/>
          <c:showVal val="0"/>
          <c:showCatName val="0"/>
          <c:showSerName val="0"/>
          <c:showPercent val="0"/>
          <c:showBubbleSize val="0"/>
        </c:dLbls>
        <c:gapWidth val="150"/>
        <c:overlap val="100"/>
        <c:axId val="-757960304"/>
        <c:axId val="-757972272"/>
      </c:barChart>
      <c:catAx>
        <c:axId val="-75796030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57972272"/>
        <c:crossesAt val="0"/>
        <c:auto val="1"/>
        <c:lblAlgn val="ctr"/>
        <c:lblOffset val="100"/>
        <c:noMultiLvlLbl val="0"/>
      </c:catAx>
      <c:valAx>
        <c:axId val="-757972272"/>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757960304"/>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 r="0.750000000000001"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8"/>
          <c:y val="9.3877551020408095E-2"/>
          <c:w val="0.84029484029484303"/>
          <c:h val="0.53469387755102304"/>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'Data Entry'!$B$41:$B$50</c:f>
              <c:strCache>
                <c:ptCount val="8"/>
                <c:pt idx="0">
                  <c:v>External Professional services</c:v>
                </c:pt>
                <c:pt idx="1">
                  <c:v>Health Products - Non Pharmaceuticals</c:v>
                </c:pt>
                <c:pt idx="2">
                  <c:v>Health Products - Equipment</c:v>
                </c:pt>
                <c:pt idx="3">
                  <c:v>Procurement and Supply-Chain Management costs</c:v>
                </c:pt>
                <c:pt idx="4">
                  <c:v>Infrastructure</c:v>
                </c:pt>
                <c:pt idx="5">
                  <c:v>Non-health equipment</c:v>
                </c:pt>
                <c:pt idx="6">
                  <c:v>Communication Material and Publications</c:v>
                </c:pt>
                <c:pt idx="7">
                  <c:v>Programme Administration costs</c:v>
                </c:pt>
              </c:strCache>
            </c:strRef>
          </c:cat>
          <c:val>
            <c:numRef>
              <c:f>'Data Entry'!$C$39:$C$49</c:f>
              <c:numCache>
                <c:formatCode>_(* #,##0.00_);_(* \(#,##0.00\);_(* "-"??_);_(@_)</c:formatCode>
                <c:ptCount val="11"/>
                <c:pt idx="0">
                  <c:v>2467774.86</c:v>
                </c:pt>
                <c:pt idx="1">
                  <c:v>392020.58</c:v>
                </c:pt>
                <c:pt idx="2">
                  <c:v>453380.27</c:v>
                </c:pt>
                <c:pt idx="3">
                  <c:v>0</c:v>
                </c:pt>
                <c:pt idx="4">
                  <c:v>60212.17</c:v>
                </c:pt>
                <c:pt idx="5">
                  <c:v>23239.99</c:v>
                </c:pt>
                <c:pt idx="6">
                  <c:v>9600</c:v>
                </c:pt>
                <c:pt idx="7">
                  <c:v>1020724.4199999999</c:v>
                </c:pt>
                <c:pt idx="8">
                  <c:v>129368.84999999999</c:v>
                </c:pt>
                <c:pt idx="9">
                  <c:v>107915.8</c:v>
                </c:pt>
                <c:pt idx="10">
                  <c:v>0</c:v>
                </c:pt>
              </c:numCache>
            </c:numRef>
          </c:val>
        </c:ser>
        <c:ser>
          <c:idx val="1"/>
          <c:order val="1"/>
          <c:spPr>
            <a:solidFill>
              <a:srgbClr val="C0C0C0"/>
            </a:solidFill>
            <a:ln w="12700">
              <a:solidFill>
                <a:srgbClr val="000000"/>
              </a:solidFill>
              <a:prstDash val="solid"/>
            </a:ln>
            <a:effectLst>
              <a:outerShdw dist="35921" dir="2700000" algn="br">
                <a:srgbClr val="000000"/>
              </a:outerShdw>
            </a:effectLst>
          </c:spPr>
          <c:invertIfNegative val="0"/>
          <c:cat>
            <c:strRef>
              <c:f>'Data Entry'!$B$41:$B$50</c:f>
              <c:strCache>
                <c:ptCount val="8"/>
                <c:pt idx="0">
                  <c:v>External Professional services</c:v>
                </c:pt>
                <c:pt idx="1">
                  <c:v>Health Products - Non Pharmaceuticals</c:v>
                </c:pt>
                <c:pt idx="2">
                  <c:v>Health Products - Equipment</c:v>
                </c:pt>
                <c:pt idx="3">
                  <c:v>Procurement and Supply-Chain Management costs</c:v>
                </c:pt>
                <c:pt idx="4">
                  <c:v>Infrastructure</c:v>
                </c:pt>
                <c:pt idx="5">
                  <c:v>Non-health equipment</c:v>
                </c:pt>
                <c:pt idx="6">
                  <c:v>Communication Material and Publications</c:v>
                </c:pt>
                <c:pt idx="7">
                  <c:v>Programme Administration costs</c:v>
                </c:pt>
              </c:strCache>
            </c:strRef>
          </c:cat>
          <c:val>
            <c:numRef>
              <c:f>'Data Entry'!$D$39:$D$49</c:f>
              <c:numCache>
                <c:formatCode>_(* #,##0.00_);_(* \(#,##0.00\);_(* "-"??_);_(@_)</c:formatCode>
                <c:ptCount val="11"/>
                <c:pt idx="0">
                  <c:v>1886492.0899999999</c:v>
                </c:pt>
                <c:pt idx="1">
                  <c:v>146582.82</c:v>
                </c:pt>
                <c:pt idx="2">
                  <c:v>284761.83999999997</c:v>
                </c:pt>
                <c:pt idx="3">
                  <c:v>5088011.34</c:v>
                </c:pt>
                <c:pt idx="4">
                  <c:v>32465.199999999997</c:v>
                </c:pt>
                <c:pt idx="5">
                  <c:v>26526.41</c:v>
                </c:pt>
                <c:pt idx="6">
                  <c:v>3150.0499999999997</c:v>
                </c:pt>
                <c:pt idx="7">
                  <c:v>234394.54</c:v>
                </c:pt>
                <c:pt idx="8">
                  <c:v>8271.5</c:v>
                </c:pt>
                <c:pt idx="9">
                  <c:v>57355.62</c:v>
                </c:pt>
                <c:pt idx="10">
                  <c:v>0</c:v>
                </c:pt>
              </c:numCache>
            </c:numRef>
          </c:val>
        </c:ser>
        <c:dLbls>
          <c:showLegendKey val="0"/>
          <c:showVal val="0"/>
          <c:showCatName val="0"/>
          <c:showSerName val="0"/>
          <c:showPercent val="0"/>
          <c:showBubbleSize val="0"/>
        </c:dLbls>
        <c:gapWidth val="150"/>
        <c:axId val="-818854048"/>
        <c:axId val="-818856768"/>
      </c:barChart>
      <c:catAx>
        <c:axId val="-818854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818856768"/>
        <c:crosses val="autoZero"/>
        <c:auto val="1"/>
        <c:lblAlgn val="ctr"/>
        <c:lblOffset val="100"/>
        <c:tickMarkSkip val="1"/>
        <c:noMultiLvlLbl val="0"/>
      </c:catAx>
      <c:valAx>
        <c:axId val="-81885676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818854048"/>
        <c:crosses val="autoZero"/>
        <c:crossBetween val="between"/>
      </c:valAx>
      <c:dTable>
        <c:showHorzBorder val="1"/>
        <c:showVertBorder val="1"/>
        <c:showOutline val="1"/>
        <c:showKeys val="1"/>
        <c:spPr>
          <a:ln w="3175">
            <a:solidFill>
              <a:srgbClr val="000000"/>
            </a:solidFill>
            <a:prstDash val="solid"/>
          </a:ln>
        </c:spPr>
        <c:txPr>
          <a:bodyPr/>
          <a:lstStyle/>
          <a:p>
            <a:pPr rtl="0">
              <a:defRPr sz="600"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794E-2"/>
          <c:w val="0.83769347239407221"/>
          <c:h val="0.66680009761151471"/>
        </c:manualLayout>
      </c:layout>
      <c:barChart>
        <c:barDir val="col"/>
        <c:grouping val="clustered"/>
        <c:varyColors val="0"/>
        <c:ser>
          <c:idx val="0"/>
          <c:order val="0"/>
          <c:tx>
            <c:strRef>
              <c:f>'Data Entry'!$G$124</c:f>
              <c:strCache>
                <c:ptCount val="1"/>
                <c:pt idx="0">
                  <c:v>Target</c:v>
                </c:pt>
              </c:strCache>
            </c:strRef>
          </c:tx>
          <c:spPr>
            <a:solidFill>
              <a:srgbClr val="0066CC"/>
            </a:solidFill>
            <a:ln w="25400">
              <a:noFill/>
            </a:ln>
          </c:spPr>
          <c:invertIfNegative val="0"/>
          <c:cat>
            <c:strRef>
              <c:f>'Data Entry'!$H$120:$S$120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Entry'!$H$124:$S$124</c:f>
              <c:numCache>
                <c:formatCode>#,##0</c:formatCode>
                <c:ptCount val="12"/>
                <c:pt idx="1">
                  <c:v>141960</c:v>
                </c:pt>
              </c:numCache>
            </c:numRef>
          </c:val>
        </c:ser>
        <c:ser>
          <c:idx val="1"/>
          <c:order val="1"/>
          <c:tx>
            <c:strRef>
              <c:f>'Data Entry'!$G$125</c:f>
              <c:strCache>
                <c:ptCount val="1"/>
                <c:pt idx="0">
                  <c:v>Achieved </c:v>
                </c:pt>
              </c:strCache>
            </c:strRef>
          </c:tx>
          <c:spPr>
            <a:pattFill prst="pct50">
              <a:fgClr>
                <a:srgbClr val="99CCFF"/>
              </a:fgClr>
              <a:bgClr>
                <a:srgbClr val="FFFFFF"/>
              </a:bgClr>
            </a:pattFill>
            <a:ln w="12700">
              <a:solidFill>
                <a:srgbClr val="0000FF"/>
              </a:solidFill>
              <a:prstDash val="solid"/>
            </a:ln>
          </c:spPr>
          <c:invertIfNegative val="0"/>
          <c:cat>
            <c:strRef>
              <c:f>'Data Entry'!$H$120:$S$120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Entry'!$H$125:$S$125</c:f>
              <c:numCache>
                <c:formatCode>#,##0</c:formatCode>
                <c:ptCount val="12"/>
                <c:pt idx="1">
                  <c:v>122622</c:v>
                </c:pt>
              </c:numCache>
            </c:numRef>
          </c:val>
        </c:ser>
        <c:dLbls>
          <c:showLegendKey val="0"/>
          <c:showVal val="0"/>
          <c:showCatName val="0"/>
          <c:showSerName val="0"/>
          <c:showPercent val="0"/>
          <c:showBubbleSize val="0"/>
        </c:dLbls>
        <c:gapWidth val="150"/>
        <c:axId val="-1006101936"/>
        <c:axId val="-1006107376"/>
      </c:barChart>
      <c:catAx>
        <c:axId val="-1006101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50" b="1" i="0" u="none" strike="noStrike" baseline="0">
                <a:solidFill>
                  <a:srgbClr val="000000"/>
                </a:solidFill>
                <a:latin typeface="Arial"/>
                <a:ea typeface="Arial"/>
                <a:cs typeface="Arial"/>
              </a:defRPr>
            </a:pPr>
            <a:endParaRPr lang="en-US"/>
          </a:p>
        </c:txPr>
        <c:crossAx val="-1006107376"/>
        <c:crosses val="autoZero"/>
        <c:auto val="1"/>
        <c:lblAlgn val="ctr"/>
        <c:lblOffset val="100"/>
        <c:tickLblSkip val="1"/>
        <c:tickMarkSkip val="1"/>
        <c:noMultiLvlLbl val="0"/>
      </c:catAx>
      <c:valAx>
        <c:axId val="-100610737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006101936"/>
        <c:crosses val="autoZero"/>
        <c:crossBetween val="between"/>
      </c:valAx>
      <c:spPr>
        <a:noFill/>
        <a:ln w="25400">
          <a:noFill/>
        </a:ln>
      </c:spPr>
    </c:plotArea>
    <c:legend>
      <c:legendPos val="r"/>
      <c:layout>
        <c:manualLayout>
          <c:xMode val="edge"/>
          <c:yMode val="edge"/>
          <c:x val="0.191781283312282"/>
          <c:y val="0.911919274339413"/>
          <c:w val="0.56506946870549002"/>
          <c:h val="7.2538860103627006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794E-2"/>
          <c:w val="0.83314004319329804"/>
          <c:h val="0.65320736566206306"/>
        </c:manualLayout>
      </c:layout>
      <c:barChart>
        <c:barDir val="col"/>
        <c:grouping val="clustered"/>
        <c:varyColors val="0"/>
        <c:ser>
          <c:idx val="0"/>
          <c:order val="0"/>
          <c:tx>
            <c:strRef>
              <c:f>'Data Entry'!$G$126</c:f>
              <c:strCache>
                <c:ptCount val="1"/>
              </c:strCache>
            </c:strRef>
          </c:tx>
          <c:spPr>
            <a:solidFill>
              <a:srgbClr val="0066CC"/>
            </a:solidFill>
            <a:ln w="25400">
              <a:noFill/>
            </a:ln>
          </c:spPr>
          <c:invertIfNegative val="0"/>
          <c:cat>
            <c:strRef>
              <c:f>'Data Entry'!$H$120:$S$120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Entry'!$H$126:$S$126</c:f>
              <c:numCache>
                <c:formatCode>#,##0</c:formatCode>
                <c:ptCount val="12"/>
              </c:numCache>
            </c:numRef>
          </c:val>
        </c:ser>
        <c:ser>
          <c:idx val="1"/>
          <c:order val="1"/>
          <c:tx>
            <c:strRef>
              <c:f>'Data Entry'!$G$127</c:f>
              <c:strCache>
                <c:ptCount val="1"/>
              </c:strCache>
            </c:strRef>
          </c:tx>
          <c:spPr>
            <a:pattFill prst="pct50">
              <a:fgClr>
                <a:srgbClr val="99CCFF"/>
              </a:fgClr>
              <a:bgClr>
                <a:srgbClr val="FFFFFF"/>
              </a:bgClr>
            </a:pattFill>
            <a:ln w="12700">
              <a:solidFill>
                <a:srgbClr val="0000FF"/>
              </a:solidFill>
              <a:prstDash val="solid"/>
            </a:ln>
          </c:spPr>
          <c:invertIfNegative val="0"/>
          <c:cat>
            <c:strRef>
              <c:f>'Data Entry'!$H$120:$S$120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Entry'!$H$127:$S$127</c:f>
              <c:numCache>
                <c:formatCode>#,##0</c:formatCode>
                <c:ptCount val="12"/>
              </c:numCache>
            </c:numRef>
          </c:val>
        </c:ser>
        <c:dLbls>
          <c:showLegendKey val="0"/>
          <c:showVal val="0"/>
          <c:showCatName val="0"/>
          <c:showSerName val="0"/>
          <c:showPercent val="0"/>
          <c:showBubbleSize val="0"/>
        </c:dLbls>
        <c:gapWidth val="150"/>
        <c:axId val="-1043806288"/>
        <c:axId val="-631416144"/>
      </c:barChart>
      <c:catAx>
        <c:axId val="-1043806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50" b="1" i="0" u="none" strike="noStrike" baseline="0">
                <a:solidFill>
                  <a:srgbClr val="000000"/>
                </a:solidFill>
                <a:latin typeface="Arial"/>
                <a:ea typeface="Arial"/>
                <a:cs typeface="Arial"/>
              </a:defRPr>
            </a:pPr>
            <a:endParaRPr lang="en-US"/>
          </a:p>
        </c:txPr>
        <c:crossAx val="-631416144"/>
        <c:crosses val="autoZero"/>
        <c:auto val="1"/>
        <c:lblAlgn val="ctr"/>
        <c:lblOffset val="100"/>
        <c:tickLblSkip val="1"/>
        <c:tickMarkSkip val="1"/>
        <c:noMultiLvlLbl val="0"/>
      </c:catAx>
      <c:valAx>
        <c:axId val="-63141614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043806288"/>
        <c:crosses val="autoZero"/>
        <c:crossBetween val="between"/>
      </c:valAx>
      <c:spPr>
        <a:noFill/>
        <a:ln w="25400">
          <a:noFill/>
        </a:ln>
      </c:spPr>
    </c:plotArea>
    <c:legend>
      <c:legendPos val="r"/>
      <c:layout>
        <c:manualLayout>
          <c:xMode val="edge"/>
          <c:yMode val="edge"/>
          <c:x val="0.202090592334495"/>
          <c:y val="0.90575916230366504"/>
          <c:w val="0.57491289198606199"/>
          <c:h val="7.3298429319371805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794E-2"/>
          <c:w val="0.83314004319329804"/>
          <c:h val="0.65320736566206306"/>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cat>
            <c:strRef>
              <c:f>'Data Entry'!$H$120:$S$120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Entry'!$H$122:$S$122</c:f>
              <c:numCache>
                <c:formatCode>#,##0</c:formatCode>
                <c:ptCount val="12"/>
                <c:pt idx="1">
                  <c:v>871071</c:v>
                </c:pt>
              </c:numCache>
            </c:numRef>
          </c:val>
        </c:ser>
        <c:ser>
          <c:idx val="1"/>
          <c:order val="1"/>
          <c:tx>
            <c:strRef>
              <c:f>'Data Entry'!$G$123</c:f>
              <c:strCache>
                <c:ptCount val="1"/>
                <c:pt idx="0">
                  <c:v>Achieved </c:v>
                </c:pt>
              </c:strCache>
            </c:strRef>
          </c:tx>
          <c:spPr>
            <a:pattFill prst="pct50">
              <a:fgClr>
                <a:srgbClr val="99CCFF"/>
              </a:fgClr>
              <a:bgClr>
                <a:srgbClr val="FFFFFF"/>
              </a:bgClr>
            </a:pattFill>
            <a:ln w="12700">
              <a:solidFill>
                <a:srgbClr val="0000FF"/>
              </a:solidFill>
              <a:prstDash val="solid"/>
            </a:ln>
          </c:spPr>
          <c:invertIfNegative val="0"/>
          <c:cat>
            <c:strRef>
              <c:f>'Data Entry'!$H$120:$S$120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Entry'!$H$123:$S$123</c:f>
              <c:numCache>
                <c:formatCode>#,##0</c:formatCode>
                <c:ptCount val="12"/>
                <c:pt idx="1">
                  <c:v>771553</c:v>
                </c:pt>
              </c:numCache>
            </c:numRef>
          </c:val>
        </c:ser>
        <c:dLbls>
          <c:showLegendKey val="0"/>
          <c:showVal val="0"/>
          <c:showCatName val="0"/>
          <c:showSerName val="0"/>
          <c:showPercent val="0"/>
          <c:showBubbleSize val="0"/>
        </c:dLbls>
        <c:gapWidth val="150"/>
        <c:axId val="-631412336"/>
        <c:axId val="-631410160"/>
      </c:barChart>
      <c:catAx>
        <c:axId val="-631412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50" b="1" i="0" u="none" strike="noStrike" baseline="0">
                <a:solidFill>
                  <a:srgbClr val="000000"/>
                </a:solidFill>
                <a:latin typeface="Arial"/>
                <a:ea typeface="Arial"/>
                <a:cs typeface="Arial"/>
              </a:defRPr>
            </a:pPr>
            <a:endParaRPr lang="en-US"/>
          </a:p>
        </c:txPr>
        <c:crossAx val="-631410160"/>
        <c:crosses val="autoZero"/>
        <c:auto val="1"/>
        <c:lblAlgn val="ctr"/>
        <c:lblOffset val="100"/>
        <c:tickLblSkip val="1"/>
        <c:tickMarkSkip val="1"/>
        <c:noMultiLvlLbl val="0"/>
      </c:catAx>
      <c:valAx>
        <c:axId val="-63141016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631412336"/>
        <c:crosses val="autoZero"/>
        <c:crossBetween val="between"/>
      </c:valAx>
      <c:spPr>
        <a:noFill/>
        <a:ln w="25400">
          <a:noFill/>
        </a:ln>
      </c:spPr>
    </c:plotArea>
    <c:legend>
      <c:legendPos val="r"/>
      <c:layout>
        <c:manualLayout>
          <c:xMode val="edge"/>
          <c:yMode val="edge"/>
          <c:x val="0.21754459639913501"/>
          <c:y val="0.91237113402061898"/>
          <c:w val="0.57894921029608404"/>
          <c:h val="7.2164948453608296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996"/>
          <c:h val="0.42029282929142098"/>
        </c:manualLayout>
      </c:layout>
      <c:barChart>
        <c:barDir val="bar"/>
        <c:grouping val="percentStacked"/>
        <c:varyColors val="0"/>
        <c:ser>
          <c:idx val="0"/>
          <c:order val="0"/>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Entry'!$C$83</c:f>
              <c:numCache>
                <c:formatCode>General</c:formatCode>
                <c:ptCount val="1"/>
                <c:pt idx="0">
                  <c:v>0</c:v>
                </c:pt>
              </c:numCache>
            </c:numRef>
          </c:val>
        </c:ser>
        <c:dLbls>
          <c:showLegendKey val="0"/>
          <c:showVal val="0"/>
          <c:showCatName val="0"/>
          <c:showSerName val="0"/>
          <c:showPercent val="0"/>
          <c:showBubbleSize val="0"/>
        </c:dLbls>
        <c:gapWidth val="79"/>
        <c:overlap val="100"/>
        <c:axId val="-631418320"/>
        <c:axId val="-631407440"/>
      </c:barChart>
      <c:catAx>
        <c:axId val="-631418320"/>
        <c:scaling>
          <c:orientation val="minMax"/>
        </c:scaling>
        <c:delete val="1"/>
        <c:axPos val="l"/>
        <c:majorTickMark val="out"/>
        <c:minorTickMark val="none"/>
        <c:tickLblPos val="none"/>
        <c:crossAx val="-631407440"/>
        <c:crosses val="autoZero"/>
        <c:auto val="1"/>
        <c:lblAlgn val="ctr"/>
        <c:lblOffset val="100"/>
        <c:noMultiLvlLbl val="0"/>
      </c:catAx>
      <c:valAx>
        <c:axId val="-63140744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31418320"/>
        <c:crosses val="max"/>
        <c:crossBetween val="between"/>
      </c:valAx>
    </c:plotArea>
    <c:legend>
      <c:legendPos val="r"/>
      <c:layout>
        <c:manualLayout>
          <c:xMode val="edge"/>
          <c:yMode val="edge"/>
          <c:x val="0.29449174785355198"/>
          <c:y val="0.80435315150823505"/>
          <c:w val="0.37076315672405302"/>
          <c:h val="0.14492829700635301"/>
        </c:manualLayout>
      </c:layout>
      <c:overlay val="0"/>
      <c:spPr>
        <a:noFill/>
        <a:ln w="25400">
          <a:noFill/>
        </a:ln>
      </c:spPr>
      <c:txPr>
        <a:bodyPr/>
        <a:lstStyle/>
        <a:p>
          <a:pPr>
            <a:defRPr sz="75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 r="0.750000000000001"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496"/>
          <c:h val="0.60656061390354998"/>
        </c:manualLayout>
      </c:layout>
      <c:barChart>
        <c:barDir val="col"/>
        <c:grouping val="clustered"/>
        <c:varyColors val="0"/>
        <c:ser>
          <c:idx val="0"/>
          <c:order val="0"/>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Entry'!$C$88</c:f>
              <c:numCache>
                <c:formatCode>General</c:formatCode>
                <c:ptCount val="1"/>
                <c:pt idx="0">
                  <c:v>0</c:v>
                </c:pt>
              </c:numCache>
            </c:numRef>
          </c:val>
        </c:ser>
        <c:dLbls>
          <c:showLegendKey val="0"/>
          <c:showVal val="0"/>
          <c:showCatName val="0"/>
          <c:showSerName val="0"/>
          <c:showPercent val="0"/>
          <c:showBubbleSize val="0"/>
        </c:dLbls>
        <c:gapWidth val="150"/>
        <c:overlap val="-20"/>
        <c:axId val="-631409616"/>
        <c:axId val="-631416688"/>
      </c:barChart>
      <c:catAx>
        <c:axId val="-631409616"/>
        <c:scaling>
          <c:orientation val="minMax"/>
        </c:scaling>
        <c:delete val="0"/>
        <c:axPos val="b"/>
        <c:majorTickMark val="none"/>
        <c:minorTickMark val="none"/>
        <c:tickLblPos val="none"/>
        <c:spPr>
          <a:ln w="3175">
            <a:solidFill>
              <a:srgbClr val="000000"/>
            </a:solidFill>
            <a:prstDash val="solid"/>
          </a:ln>
        </c:spPr>
        <c:crossAx val="-631416688"/>
        <c:crosses val="autoZero"/>
        <c:auto val="0"/>
        <c:lblAlgn val="ctr"/>
        <c:lblOffset val="100"/>
        <c:tickMarkSkip val="1"/>
        <c:noMultiLvlLbl val="0"/>
      </c:catAx>
      <c:valAx>
        <c:axId val="-6314166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31409616"/>
        <c:crosses val="autoZero"/>
        <c:crossBetween val="between"/>
      </c:valAx>
      <c:spPr>
        <a:noFill/>
        <a:ln w="25400">
          <a:noFill/>
        </a:ln>
      </c:spPr>
    </c:plotArea>
    <c:legend>
      <c:legendPos val="r"/>
      <c:layout>
        <c:manualLayout>
          <c:xMode val="edge"/>
          <c:yMode val="edge"/>
          <c:x val="7.0422535211267595E-2"/>
          <c:y val="0.85245901639344501"/>
          <c:w val="0.85446009389671296"/>
          <c:h val="0.10928961748633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Entry'!$D$75</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Entry'!$B$76:$B$77</c:f>
              <c:strCache>
                <c:ptCount val="2"/>
                <c:pt idx="0">
                  <c:v>Conditions Precedent (CPs)</c:v>
                </c:pt>
                <c:pt idx="1">
                  <c:v>Time Bound Actions (TBAs)</c:v>
                </c:pt>
              </c:strCache>
            </c:strRef>
          </c:cat>
          <c:val>
            <c:numRef>
              <c:f>'Data Entry'!$D$76:$D$77</c:f>
              <c:numCache>
                <c:formatCode>0</c:formatCode>
                <c:ptCount val="2"/>
                <c:pt idx="0">
                  <c:v>0</c:v>
                </c:pt>
                <c:pt idx="1">
                  <c:v>0</c:v>
                </c:pt>
              </c:numCache>
            </c:numRef>
          </c:val>
        </c:ser>
        <c:ser>
          <c:idx val="1"/>
          <c:order val="1"/>
          <c:tx>
            <c:strRef>
              <c:f>'Data Entry'!$E$75</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Entry'!$B$76:$B$77</c:f>
              <c:strCache>
                <c:ptCount val="2"/>
                <c:pt idx="0">
                  <c:v>Conditions Precedent (CPs)</c:v>
                </c:pt>
                <c:pt idx="1">
                  <c:v>Time Bound Actions (TBAs)</c:v>
                </c:pt>
              </c:strCache>
            </c:strRef>
          </c:cat>
          <c:val>
            <c:numRef>
              <c:f>'Data Entry'!$E$76:$E$77</c:f>
              <c:numCache>
                <c:formatCode>0</c:formatCode>
                <c:ptCount val="2"/>
                <c:pt idx="0">
                  <c:v>0</c:v>
                </c:pt>
                <c:pt idx="1">
                  <c:v>0</c:v>
                </c:pt>
              </c:numCache>
            </c:numRef>
          </c:val>
        </c:ser>
        <c:ser>
          <c:idx val="2"/>
          <c:order val="2"/>
          <c:tx>
            <c:strRef>
              <c:f>'Data Entry'!$F$75</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Entry'!$B$76:$B$77</c:f>
              <c:strCache>
                <c:ptCount val="2"/>
                <c:pt idx="0">
                  <c:v>Conditions Precedent (CPs)</c:v>
                </c:pt>
                <c:pt idx="1">
                  <c:v>Time Bound Actions (TBAs)</c:v>
                </c:pt>
              </c:strCache>
            </c:strRef>
          </c:cat>
          <c:val>
            <c:numRef>
              <c:f>'Data Entry'!$F$76:$F$77</c:f>
              <c:numCache>
                <c:formatCode>0</c:formatCode>
                <c:ptCount val="2"/>
                <c:pt idx="0">
                  <c:v>0</c:v>
                </c:pt>
                <c:pt idx="1">
                  <c:v>0</c:v>
                </c:pt>
              </c:numCache>
            </c:numRef>
          </c:val>
        </c:ser>
        <c:dLbls>
          <c:showLegendKey val="0"/>
          <c:showVal val="0"/>
          <c:showCatName val="0"/>
          <c:showSerName val="0"/>
          <c:showPercent val="0"/>
          <c:showBubbleSize val="0"/>
        </c:dLbls>
        <c:gapWidth val="70"/>
        <c:overlap val="100"/>
        <c:axId val="-631408528"/>
        <c:axId val="-631407984"/>
      </c:barChart>
      <c:catAx>
        <c:axId val="-6314085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31407984"/>
        <c:crosses val="autoZero"/>
        <c:auto val="1"/>
        <c:lblAlgn val="ctr"/>
        <c:lblOffset val="100"/>
        <c:tickLblSkip val="1"/>
        <c:tickMarkSkip val="1"/>
        <c:noMultiLvlLbl val="0"/>
      </c:catAx>
      <c:valAx>
        <c:axId val="-63140798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31408528"/>
        <c:crosses val="autoZero"/>
        <c:crossBetween val="between"/>
      </c:valAx>
      <c:spPr>
        <a:noFill/>
        <a:ln w="25400">
          <a:noFill/>
        </a:ln>
      </c:spPr>
    </c:plotArea>
    <c:legend>
      <c:legendPos val="r"/>
      <c:layout>
        <c:manualLayout>
          <c:xMode val="edge"/>
          <c:yMode val="edge"/>
          <c:x val="1.1441647597254001E-2"/>
          <c:y val="0.81599999999999995"/>
          <c:w val="0.97940503432494297"/>
          <c:h val="0.16"/>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 Id="rId14" Type="http://schemas.openxmlformats.org/officeDocument/2006/relationships/image" Target="../media/image6.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image" Target="../media/image6.png"/><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8.png"/><Relationship Id="rId5" Type="http://schemas.openxmlformats.org/officeDocument/2006/relationships/chart" Target="../charts/chart3.xml"/><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hyperlink" Target="#Menu!A1"/><Relationship Id="rId1" Type="http://schemas.openxmlformats.org/officeDocument/2006/relationships/chart" Target="../charts/chart4.xml"/><Relationship Id="rId5" Type="http://schemas.openxmlformats.org/officeDocument/2006/relationships/image" Target="../media/image6.png"/><Relationship Id="rId4"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image" Target="../media/image6.png"/><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hyperlink" Target="#Menu!A1"/><Relationship Id="rId5" Type="http://schemas.openxmlformats.org/officeDocument/2006/relationships/chart" Target="../charts/chart11.xml"/><Relationship Id="rId4"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756776"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756777"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756778"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756779" name="Group 25">
          <a:hlinkClick xmlns:r="http://schemas.openxmlformats.org/officeDocument/2006/relationships" r:id="rId3"/>
        </xdr:cNvPr>
        <xdr:cNvGrpSpPr>
          <a:grpSpLocks/>
        </xdr:cNvGrpSpPr>
      </xdr:nvGrpSpPr>
      <xdr:grpSpPr bwMode="auto">
        <a:xfrm>
          <a:off x="3407833" y="2428875"/>
          <a:ext cx="1009650" cy="371475"/>
          <a:chOff x="1200" y="1912"/>
          <a:chExt cx="3456" cy="774"/>
        </a:xfrm>
      </xdr:grpSpPr>
      <xdr:sp macro="" textlink="">
        <xdr:nvSpPr>
          <xdr:cNvPr id="7370"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756780" name="Group 25">
          <a:hlinkClick xmlns:r="http://schemas.openxmlformats.org/officeDocument/2006/relationships" r:id="rId4"/>
        </xdr:cNvPr>
        <xdr:cNvGrpSpPr>
          <a:grpSpLocks/>
        </xdr:cNvGrpSpPr>
      </xdr:nvGrpSpPr>
      <xdr:grpSpPr bwMode="auto">
        <a:xfrm>
          <a:off x="3445933" y="3505200"/>
          <a:ext cx="1066800" cy="371475"/>
          <a:chOff x="1200" y="1912"/>
          <a:chExt cx="3456" cy="774"/>
        </a:xfrm>
      </xdr:grpSpPr>
      <xdr:sp macro="" textlink="">
        <xdr:nvSpPr>
          <xdr:cNvPr id="7367"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756781" name="Group 25">
          <a:hlinkClick xmlns:r="http://schemas.openxmlformats.org/officeDocument/2006/relationships" r:id="rId5"/>
        </xdr:cNvPr>
        <xdr:cNvGrpSpPr>
          <a:grpSpLocks/>
        </xdr:cNvGrpSpPr>
      </xdr:nvGrpSpPr>
      <xdr:grpSpPr bwMode="auto">
        <a:xfrm>
          <a:off x="3407833" y="2962275"/>
          <a:ext cx="1066800" cy="371475"/>
          <a:chOff x="1200" y="1912"/>
          <a:chExt cx="3456" cy="774"/>
        </a:xfrm>
      </xdr:grpSpPr>
      <xdr:sp macro="" textlink="">
        <xdr:nvSpPr>
          <xdr:cNvPr id="7364"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756783" name="Group 832">
          <a:hlinkClick xmlns:r="http://schemas.openxmlformats.org/officeDocument/2006/relationships" r:id="rId6"/>
        </xdr:cNvPr>
        <xdr:cNvGrpSpPr>
          <a:grpSpLocks/>
        </xdr:cNvGrpSpPr>
      </xdr:nvGrpSpPr>
      <xdr:grpSpPr bwMode="auto">
        <a:xfrm>
          <a:off x="5703358" y="2571750"/>
          <a:ext cx="1507067" cy="409575"/>
          <a:chOff x="599" y="262"/>
          <a:chExt cx="158" cy="43"/>
        </a:xfrm>
      </xdr:grpSpPr>
      <xdr:sp macro="" textlink="">
        <xdr:nvSpPr>
          <xdr:cNvPr id="7360"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756815"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756817"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756784" name="Group 830"/>
        <xdr:cNvGrpSpPr>
          <a:grpSpLocks/>
        </xdr:cNvGrpSpPr>
      </xdr:nvGrpSpPr>
      <xdr:grpSpPr bwMode="auto">
        <a:xfrm>
          <a:off x="321733" y="1895475"/>
          <a:ext cx="2143125" cy="2124075"/>
          <a:chOff x="32" y="188"/>
          <a:chExt cx="225" cy="225"/>
        </a:xfrm>
      </xdr:grpSpPr>
      <xdr:sp macro="" textlink="">
        <xdr:nvSpPr>
          <xdr:cNvPr id="756812"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756785" name="Group 826"/>
        <xdr:cNvGrpSpPr>
          <a:grpSpLocks/>
        </xdr:cNvGrpSpPr>
      </xdr:nvGrpSpPr>
      <xdr:grpSpPr bwMode="auto">
        <a:xfrm>
          <a:off x="5693833" y="3200400"/>
          <a:ext cx="1507067" cy="409575"/>
          <a:chOff x="578" y="328"/>
          <a:chExt cx="158" cy="43"/>
        </a:xfrm>
      </xdr:grpSpPr>
      <xdr:sp macro="" textlink="">
        <xdr:nvSpPr>
          <xdr:cNvPr id="7354"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756809"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756811"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756786" name="Group 831">
          <a:hlinkClick xmlns:r="http://schemas.openxmlformats.org/officeDocument/2006/relationships" r:id="rId8"/>
        </xdr:cNvPr>
        <xdr:cNvGrpSpPr>
          <a:grpSpLocks/>
        </xdr:cNvGrpSpPr>
      </xdr:nvGrpSpPr>
      <xdr:grpSpPr bwMode="auto">
        <a:xfrm>
          <a:off x="588433" y="3467100"/>
          <a:ext cx="1504950" cy="342900"/>
          <a:chOff x="56" y="259"/>
          <a:chExt cx="158" cy="40"/>
        </a:xfrm>
      </xdr:grpSpPr>
      <xdr:sp macro="" textlink="">
        <xdr:nvSpPr>
          <xdr:cNvPr id="7350"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756805"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756787" name="37 Grupo">
          <a:hlinkClick xmlns:r="http://schemas.openxmlformats.org/officeDocument/2006/relationships" r:id="rId9"/>
        </xdr:cNvPr>
        <xdr:cNvGrpSpPr>
          <a:grpSpLocks/>
        </xdr:cNvGrpSpPr>
      </xdr:nvGrpSpPr>
      <xdr:grpSpPr bwMode="auto">
        <a:xfrm>
          <a:off x="588433" y="2409825"/>
          <a:ext cx="1504950" cy="371475"/>
          <a:chOff x="1343025" y="2428876"/>
          <a:chExt cx="3240982" cy="617274"/>
        </a:xfrm>
      </xdr:grpSpPr>
      <xdr:sp macro="" textlink="">
        <xdr:nvSpPr>
          <xdr:cNvPr id="7346"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756801"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756788" name="37 Grupo">
          <a:hlinkClick xmlns:r="http://schemas.openxmlformats.org/officeDocument/2006/relationships" r:id="rId10"/>
        </xdr:cNvPr>
        <xdr:cNvGrpSpPr>
          <a:grpSpLocks/>
        </xdr:cNvGrpSpPr>
      </xdr:nvGrpSpPr>
      <xdr:grpSpPr bwMode="auto">
        <a:xfrm>
          <a:off x="588433" y="2943225"/>
          <a:ext cx="1504950" cy="371475"/>
          <a:chOff x="1343025" y="2428876"/>
          <a:chExt cx="3240982" cy="617274"/>
        </a:xfrm>
      </xdr:grpSpPr>
      <xdr:sp macro="" textlink="">
        <xdr:nvSpPr>
          <xdr:cNvPr id="7342"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756797"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756789"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756791"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756793"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1</xdr:col>
      <xdr:colOff>9525</xdr:colOff>
      <xdr:row>1</xdr:row>
      <xdr:rowOff>9525</xdr:rowOff>
    </xdr:from>
    <xdr:to>
      <xdr:col>2</xdr:col>
      <xdr:colOff>133350</xdr:colOff>
      <xdr:row>2</xdr:row>
      <xdr:rowOff>0</xdr:rowOff>
    </xdr:to>
    <xdr:pic>
      <xdr:nvPicPr>
        <xdr:cNvPr id="756795" name="Picture 17" descr="http://www.crwflags.com/fotw/images/g/gh.gif"/>
        <xdr:cNvPicPr>
          <a:picLocks noChangeAspect="1" noChangeArrowheads="1"/>
        </xdr:cNvPicPr>
      </xdr:nvPicPr>
      <xdr:blipFill>
        <a:blip xmlns:r="http://schemas.openxmlformats.org/officeDocument/2006/relationships" r:embed="rId14" cstate="print"/>
        <a:srcRect/>
        <a:stretch>
          <a:fillRect/>
        </a:stretch>
      </xdr:blipFill>
      <xdr:spPr bwMode="auto">
        <a:xfrm>
          <a:off x="85725" y="333375"/>
          <a:ext cx="885825" cy="4476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710"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49</xdr:row>
      <xdr:rowOff>161925</xdr:rowOff>
    </xdr:to>
    <xdr:cxnSp macro="">
      <xdr:nvCxnSpPr>
        <xdr:cNvPr id="6862" name="AutoShape 100"/>
        <xdr:cNvCxnSpPr>
          <a:cxnSpLocks noChangeShapeType="1"/>
        </xdr:cNvCxnSpPr>
      </xdr:nvCxnSpPr>
      <xdr:spPr bwMode="auto">
        <a:xfrm rot="5400000">
          <a:off x="7786687" y="6929438"/>
          <a:ext cx="307657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50</xdr:row>
      <xdr:rowOff>104775</xdr:rowOff>
    </xdr:from>
    <xdr:to>
      <xdr:col>4</xdr:col>
      <xdr:colOff>1057275</xdr:colOff>
      <xdr:row>50</xdr:row>
      <xdr:rowOff>104775</xdr:rowOff>
    </xdr:to>
    <xdr:cxnSp macro="">
      <xdr:nvCxnSpPr>
        <xdr:cNvPr id="6863" name="AutoShape 101"/>
        <xdr:cNvCxnSpPr>
          <a:cxnSpLocks noChangeShapeType="1"/>
        </xdr:cNvCxnSpPr>
      </xdr:nvCxnSpPr>
      <xdr:spPr bwMode="auto">
        <a:xfrm rot="10800000">
          <a:off x="6067425" y="8610600"/>
          <a:ext cx="1057275" cy="0"/>
        </a:xfrm>
        <a:prstGeom prst="straightConnector1">
          <a:avLst/>
        </a:prstGeom>
        <a:noFill/>
        <a:ln w="9525">
          <a:solidFill>
            <a:srgbClr val="000000"/>
          </a:solidFill>
          <a:round/>
          <a:headEnd type="triangle" w="med" len="med"/>
          <a:tailEnd type="triangle" w="med" len="med"/>
        </a:ln>
      </xdr:spPr>
    </xdr:cxnSp>
    <xdr:clientData/>
  </xdr:twoCellAnchor>
  <xdr:twoCellAnchor editAs="oneCell">
    <xdr:from>
      <xdr:col>1</xdr:col>
      <xdr:colOff>66675</xdr:colOff>
      <xdr:row>3</xdr:row>
      <xdr:rowOff>19050</xdr:rowOff>
    </xdr:from>
    <xdr:to>
      <xdr:col>1</xdr:col>
      <xdr:colOff>781050</xdr:colOff>
      <xdr:row>4</xdr:row>
      <xdr:rowOff>188119</xdr:rowOff>
    </xdr:to>
    <xdr:pic>
      <xdr:nvPicPr>
        <xdr:cNvPr id="6864" name="Picture 17" descr="http://www.crwflags.com/fotw/images/g/gh.gif"/>
        <xdr:cNvPicPr>
          <a:picLocks noChangeAspect="1" noChangeArrowheads="1"/>
        </xdr:cNvPicPr>
      </xdr:nvPicPr>
      <xdr:blipFill>
        <a:blip xmlns:r="http://schemas.openxmlformats.org/officeDocument/2006/relationships" r:embed="rId2" cstate="print"/>
        <a:srcRect/>
        <a:stretch>
          <a:fillRect/>
        </a:stretch>
      </xdr:blipFill>
      <xdr:spPr bwMode="auto">
        <a:xfrm>
          <a:off x="247650" y="647700"/>
          <a:ext cx="714375" cy="3619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0</xdr:col>
      <xdr:colOff>180975</xdr:colOff>
      <xdr:row>2</xdr:row>
      <xdr:rowOff>9525</xdr:rowOff>
    </xdr:from>
    <xdr:to>
      <xdr:col>0</xdr:col>
      <xdr:colOff>1190625</xdr:colOff>
      <xdr:row>3</xdr:row>
      <xdr:rowOff>66675</xdr:rowOff>
    </xdr:to>
    <xdr:pic>
      <xdr:nvPicPr>
        <xdr:cNvPr id="9402" name="Picture 17" descr="http://www.crwflags.com/fotw/images/g/gh.gif"/>
        <xdr:cNvPicPr>
          <a:picLocks noChangeAspect="1" noChangeArrowheads="1"/>
        </xdr:cNvPicPr>
      </xdr:nvPicPr>
      <xdr:blipFill>
        <a:blip xmlns:r="http://schemas.openxmlformats.org/officeDocument/2006/relationships" r:embed="rId3" cstate="print"/>
        <a:srcRect/>
        <a:stretch>
          <a:fillRect/>
        </a:stretch>
      </xdr:blipFill>
      <xdr:spPr bwMode="auto">
        <a:xfrm>
          <a:off x="180975" y="600075"/>
          <a:ext cx="1009650" cy="5143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9</xdr:row>
      <xdr:rowOff>104775</xdr:rowOff>
    </xdr:from>
    <xdr:to>
      <xdr:col>7</xdr:col>
      <xdr:colOff>57150</xdr:colOff>
      <xdr:row>21</xdr:row>
      <xdr:rowOff>0</xdr:rowOff>
    </xdr:to>
    <xdr:graphicFrame macro="">
      <xdr:nvGraphicFramePr>
        <xdr:cNvPr id="10790"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7</xdr:col>
      <xdr:colOff>533400</xdr:colOff>
      <xdr:row>9</xdr:row>
      <xdr:rowOff>152400</xdr:rowOff>
    </xdr:from>
    <xdr:to>
      <xdr:col>12</xdr:col>
      <xdr:colOff>257175</xdr:colOff>
      <xdr:row>20</xdr:row>
      <xdr:rowOff>123825</xdr:rowOff>
    </xdr:to>
    <xdr:grpSp>
      <xdr:nvGrpSpPr>
        <xdr:cNvPr id="10792" name="Group 489"/>
        <xdr:cNvGrpSpPr>
          <a:grpSpLocks/>
        </xdr:cNvGrpSpPr>
      </xdr:nvGrpSpPr>
      <xdr:grpSpPr bwMode="auto">
        <a:xfrm>
          <a:off x="4657725" y="3695700"/>
          <a:ext cx="3714750" cy="2066925"/>
          <a:chOff x="408" y="176"/>
          <a:chExt cx="366" cy="287"/>
        </a:xfrm>
      </xdr:grpSpPr>
      <xdr:graphicFrame macro="">
        <xdr:nvGraphicFramePr>
          <xdr:cNvPr id="10797" name="Chart 31"/>
          <xdr:cNvGraphicFramePr>
            <a:graphicFrameLocks/>
          </xdr:cNvGraphicFramePr>
        </xdr:nvGraphicFramePr>
        <xdr:xfrm>
          <a:off x="408" y="176"/>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10798"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104775</xdr:colOff>
      <xdr:row>23</xdr:row>
      <xdr:rowOff>152400</xdr:rowOff>
    </xdr:from>
    <xdr:to>
      <xdr:col>6</xdr:col>
      <xdr:colOff>104775</xdr:colOff>
      <xdr:row>33</xdr:row>
      <xdr:rowOff>9525</xdr:rowOff>
    </xdr:to>
    <xdr:grpSp>
      <xdr:nvGrpSpPr>
        <xdr:cNvPr id="10793" name="Group 490"/>
        <xdr:cNvGrpSpPr>
          <a:grpSpLocks/>
        </xdr:cNvGrpSpPr>
      </xdr:nvGrpSpPr>
      <xdr:grpSpPr bwMode="auto">
        <a:xfrm>
          <a:off x="104775" y="8791575"/>
          <a:ext cx="3867150" cy="2333625"/>
          <a:chOff x="11" y="521"/>
          <a:chExt cx="407" cy="245"/>
        </a:xfrm>
      </xdr:grpSpPr>
      <xdr:graphicFrame macro="">
        <xdr:nvGraphicFramePr>
          <xdr:cNvPr id="10795" name="Chart 34"/>
          <xdr:cNvGraphicFramePr>
            <a:graphicFrameLocks/>
          </xdr:cNvGraphicFramePr>
        </xdr:nvGraphicFramePr>
        <xdr:xfrm>
          <a:off x="11" y="521"/>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0796"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twoCellAnchor editAs="oneCell">
    <xdr:from>
      <xdr:col>1</xdr:col>
      <xdr:colOff>0</xdr:colOff>
      <xdr:row>1</xdr:row>
      <xdr:rowOff>0</xdr:rowOff>
    </xdr:from>
    <xdr:to>
      <xdr:col>1</xdr:col>
      <xdr:colOff>714375</xdr:colOff>
      <xdr:row>2</xdr:row>
      <xdr:rowOff>9525</xdr:rowOff>
    </xdr:to>
    <xdr:pic>
      <xdr:nvPicPr>
        <xdr:cNvPr id="10794" name="Picture 17" descr="http://www.crwflags.com/fotw/images/g/gh.gif"/>
        <xdr:cNvPicPr>
          <a:picLocks noChangeAspect="1" noChangeArrowheads="1"/>
        </xdr:cNvPicPr>
      </xdr:nvPicPr>
      <xdr:blipFill>
        <a:blip xmlns:r="http://schemas.openxmlformats.org/officeDocument/2006/relationships" r:embed="rId7" cstate="print"/>
        <a:srcRect/>
        <a:stretch>
          <a:fillRect/>
        </a:stretch>
      </xdr:blipFill>
      <xdr:spPr bwMode="auto">
        <a:xfrm>
          <a:off x="238125" y="390525"/>
          <a:ext cx="714375" cy="3619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57150</xdr:colOff>
      <xdr:row>9</xdr:row>
      <xdr:rowOff>38100</xdr:rowOff>
    </xdr:from>
    <xdr:to>
      <xdr:col>11</xdr:col>
      <xdr:colOff>542925</xdr:colOff>
      <xdr:row>16</xdr:row>
      <xdr:rowOff>209550</xdr:rowOff>
    </xdr:to>
    <xdr:graphicFrame macro="">
      <xdr:nvGraphicFramePr>
        <xdr:cNvPr id="20786"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12</xdr:col>
      <xdr:colOff>38100</xdr:colOff>
      <xdr:row>9</xdr:row>
      <xdr:rowOff>38100</xdr:rowOff>
    </xdr:from>
    <xdr:to>
      <xdr:col>17</xdr:col>
      <xdr:colOff>228600</xdr:colOff>
      <xdr:row>16</xdr:row>
      <xdr:rowOff>190500</xdr:rowOff>
    </xdr:to>
    <xdr:graphicFrame macro="">
      <xdr:nvGraphicFramePr>
        <xdr:cNvPr id="20788"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723900</xdr:colOff>
      <xdr:row>9</xdr:row>
      <xdr:rowOff>180975</xdr:rowOff>
    </xdr:from>
    <xdr:to>
      <xdr:col>4</xdr:col>
      <xdr:colOff>457200</xdr:colOff>
      <xdr:row>18</xdr:row>
      <xdr:rowOff>66675</xdr:rowOff>
    </xdr:to>
    <xdr:graphicFrame macro="">
      <xdr:nvGraphicFramePr>
        <xdr:cNvPr id="20789"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0</xdr:row>
      <xdr:rowOff>323850</xdr:rowOff>
    </xdr:from>
    <xdr:to>
      <xdr:col>1</xdr:col>
      <xdr:colOff>590550</xdr:colOff>
      <xdr:row>2</xdr:row>
      <xdr:rowOff>9525</xdr:rowOff>
    </xdr:to>
    <xdr:pic>
      <xdr:nvPicPr>
        <xdr:cNvPr id="20790" name="Picture 17" descr="http://www.crwflags.com/fotw/images/g/gh.gif"/>
        <xdr:cNvPicPr>
          <a:picLocks noChangeAspect="1" noChangeArrowheads="1"/>
        </xdr:cNvPicPr>
      </xdr:nvPicPr>
      <xdr:blipFill>
        <a:blip xmlns:r="http://schemas.openxmlformats.org/officeDocument/2006/relationships" r:embed="rId5" cstate="print"/>
        <a:srcRect/>
        <a:stretch>
          <a:fillRect/>
        </a:stretch>
      </xdr:blipFill>
      <xdr:spPr bwMode="auto">
        <a:xfrm>
          <a:off x="28575" y="323850"/>
          <a:ext cx="590550" cy="2952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28575</xdr:colOff>
      <xdr:row>7</xdr:row>
      <xdr:rowOff>171450</xdr:rowOff>
    </xdr:from>
    <xdr:to>
      <xdr:col>12</xdr:col>
      <xdr:colOff>238125</xdr:colOff>
      <xdr:row>14</xdr:row>
      <xdr:rowOff>152400</xdr:rowOff>
    </xdr:to>
    <xdr:graphicFrame macro="">
      <xdr:nvGraphicFramePr>
        <xdr:cNvPr id="14764"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16</xdr:row>
      <xdr:rowOff>38100</xdr:rowOff>
    </xdr:from>
    <xdr:to>
      <xdr:col>5</xdr:col>
      <xdr:colOff>1095375</xdr:colOff>
      <xdr:row>25</xdr:row>
      <xdr:rowOff>66675</xdr:rowOff>
    </xdr:to>
    <xdr:graphicFrame macro="">
      <xdr:nvGraphicFramePr>
        <xdr:cNvPr id="14765"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19050</xdr:rowOff>
    </xdr:from>
    <xdr:to>
      <xdr:col>5</xdr:col>
      <xdr:colOff>1095375</xdr:colOff>
      <xdr:row>14</xdr:row>
      <xdr:rowOff>66675</xdr:rowOff>
    </xdr:to>
    <xdr:graphicFrame macro="">
      <xdr:nvGraphicFramePr>
        <xdr:cNvPr id="14766"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228600</xdr:colOff>
      <xdr:row>15</xdr:row>
      <xdr:rowOff>180975</xdr:rowOff>
    </xdr:from>
    <xdr:to>
      <xdr:col>12</xdr:col>
      <xdr:colOff>371475</xdr:colOff>
      <xdr:row>24</xdr:row>
      <xdr:rowOff>180975</xdr:rowOff>
    </xdr:to>
    <xdr:graphicFrame macro="">
      <xdr:nvGraphicFramePr>
        <xdr:cNvPr id="14767"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285750</xdr:colOff>
      <xdr:row>27</xdr:row>
      <xdr:rowOff>47625</xdr:rowOff>
    </xdr:from>
    <xdr:to>
      <xdr:col>5</xdr:col>
      <xdr:colOff>952500</xdr:colOff>
      <xdr:row>33</xdr:row>
      <xdr:rowOff>247650</xdr:rowOff>
    </xdr:to>
    <xdr:graphicFrame macro="">
      <xdr:nvGraphicFramePr>
        <xdr:cNvPr id="14768"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1</xdr:col>
      <xdr:colOff>0</xdr:colOff>
      <xdr:row>1</xdr:row>
      <xdr:rowOff>0</xdr:rowOff>
    </xdr:from>
    <xdr:to>
      <xdr:col>2</xdr:col>
      <xdr:colOff>19050</xdr:colOff>
      <xdr:row>2</xdr:row>
      <xdr:rowOff>9525</xdr:rowOff>
    </xdr:to>
    <xdr:pic>
      <xdr:nvPicPr>
        <xdr:cNvPr id="14770" name="Picture 17" descr="http://www.crwflags.com/fotw/images/g/gh.gif"/>
        <xdr:cNvPicPr>
          <a:picLocks noChangeAspect="1" noChangeArrowheads="1"/>
        </xdr:cNvPicPr>
      </xdr:nvPicPr>
      <xdr:blipFill>
        <a:blip xmlns:r="http://schemas.openxmlformats.org/officeDocument/2006/relationships" r:embed="rId7" cstate="print"/>
        <a:srcRect/>
        <a:stretch>
          <a:fillRect/>
        </a:stretch>
      </xdr:blipFill>
      <xdr:spPr bwMode="auto">
        <a:xfrm>
          <a:off x="219075" y="361950"/>
          <a:ext cx="714375" cy="3619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5431" name="Group 41"/>
        <xdr:cNvGrpSpPr>
          <a:grpSpLocks/>
        </xdr:cNvGrpSpPr>
      </xdr:nvGrpSpPr>
      <xdr:grpSpPr bwMode="auto">
        <a:xfrm>
          <a:off x="5543550" y="9201150"/>
          <a:ext cx="85725" cy="0"/>
          <a:chOff x="595" y="540"/>
          <a:chExt cx="9" cy="9"/>
        </a:xfrm>
      </xdr:grpSpPr>
      <xdr:sp macro="" textlink="">
        <xdr:nvSpPr>
          <xdr:cNvPr id="25443"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25444"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5432" name="Group 44"/>
        <xdr:cNvGrpSpPr>
          <a:grpSpLocks/>
        </xdr:cNvGrpSpPr>
      </xdr:nvGrpSpPr>
      <xdr:grpSpPr bwMode="auto">
        <a:xfrm>
          <a:off x="6524625" y="9201150"/>
          <a:ext cx="85725" cy="0"/>
          <a:chOff x="698" y="540"/>
          <a:chExt cx="9" cy="9"/>
        </a:xfrm>
      </xdr:grpSpPr>
      <xdr:sp macro="" textlink="">
        <xdr:nvSpPr>
          <xdr:cNvPr id="25441"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25442"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25433" name="Group 47"/>
        <xdr:cNvGrpSpPr>
          <a:grpSpLocks/>
        </xdr:cNvGrpSpPr>
      </xdr:nvGrpSpPr>
      <xdr:grpSpPr bwMode="auto">
        <a:xfrm>
          <a:off x="5172075" y="9201150"/>
          <a:ext cx="85725" cy="0"/>
          <a:chOff x="698" y="540"/>
          <a:chExt cx="9" cy="9"/>
        </a:xfrm>
      </xdr:grpSpPr>
      <xdr:sp macro="" textlink="">
        <xdr:nvSpPr>
          <xdr:cNvPr id="25439"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25440"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25434" name="Group 50"/>
        <xdr:cNvGrpSpPr>
          <a:grpSpLocks/>
        </xdr:cNvGrpSpPr>
      </xdr:nvGrpSpPr>
      <xdr:grpSpPr bwMode="auto">
        <a:xfrm>
          <a:off x="1438275" y="9201150"/>
          <a:ext cx="85725" cy="0"/>
          <a:chOff x="595" y="540"/>
          <a:chExt cx="9" cy="9"/>
        </a:xfrm>
      </xdr:grpSpPr>
      <xdr:sp macro="" textlink="">
        <xdr:nvSpPr>
          <xdr:cNvPr id="25437"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25438"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1</xdr:col>
      <xdr:colOff>0</xdr:colOff>
      <xdr:row>1</xdr:row>
      <xdr:rowOff>0</xdr:rowOff>
    </xdr:from>
    <xdr:to>
      <xdr:col>1</xdr:col>
      <xdr:colOff>714375</xdr:colOff>
      <xdr:row>2</xdr:row>
      <xdr:rowOff>9525</xdr:rowOff>
    </xdr:to>
    <xdr:pic>
      <xdr:nvPicPr>
        <xdr:cNvPr id="25436" name="Picture 17" descr="http://www.crwflags.com/fotw/images/g/gh.gif"/>
        <xdr:cNvPicPr>
          <a:picLocks noChangeAspect="1" noChangeArrowheads="1"/>
        </xdr:cNvPicPr>
      </xdr:nvPicPr>
      <xdr:blipFill>
        <a:blip xmlns:r="http://schemas.openxmlformats.org/officeDocument/2006/relationships" r:embed="rId2" cstate="print"/>
        <a:srcRect/>
        <a:stretch>
          <a:fillRect/>
        </a:stretch>
      </xdr:blipFill>
      <xdr:spPr bwMode="auto">
        <a:xfrm>
          <a:off x="76200" y="485775"/>
          <a:ext cx="714375" cy="3619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578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1</xdr:col>
      <xdr:colOff>0</xdr:colOff>
      <xdr:row>1</xdr:row>
      <xdr:rowOff>0</xdr:rowOff>
    </xdr:from>
    <xdr:to>
      <xdr:col>1</xdr:col>
      <xdr:colOff>714375</xdr:colOff>
      <xdr:row>2</xdr:row>
      <xdr:rowOff>9525</xdr:rowOff>
    </xdr:to>
    <xdr:pic>
      <xdr:nvPicPr>
        <xdr:cNvPr id="25786" name="Picture 17" descr="http://www.crwflags.com/fotw/images/g/gh.gif"/>
        <xdr:cNvPicPr>
          <a:picLocks noChangeAspect="1" noChangeArrowheads="1"/>
        </xdr:cNvPicPr>
      </xdr:nvPicPr>
      <xdr:blipFill>
        <a:blip xmlns:r="http://schemas.openxmlformats.org/officeDocument/2006/relationships" r:embed="rId3" cstate="print"/>
        <a:srcRect/>
        <a:stretch>
          <a:fillRect/>
        </a:stretch>
      </xdr:blipFill>
      <xdr:spPr bwMode="auto">
        <a:xfrm>
          <a:off x="276225" y="390525"/>
          <a:ext cx="714375" cy="361950"/>
        </a:xfrm>
        <a:prstGeom prst="rect">
          <a:avLst/>
        </a:prstGeom>
        <a:noFill/>
        <a:ln w="9525">
          <a:noFill/>
          <a:miter lim="800000"/>
          <a:headEnd/>
          <a:tailEnd/>
        </a:ln>
      </xdr:spPr>
    </xdr:pic>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5" connectionId="0">
    <xmlCellPr id="1" uniqueName="1">
      <xmlPr mapId="43" xpath="/ns1:Root/ns1:F2/ns1:TB_HIV__Cumulative_Budget__in___" xmlDataType="double"/>
    </xmlCellPr>
  </singleXmlCell>
  <singleXmlCell id="465" r="D45" connectionId="0">
    <xmlCellPr id="1" uniqueName="1">
      <xmlPr mapId="43" xpath="/ns1:Root/ns1:F2/ns1:TB_HIV__Cumulative_Expenditures__in___" xmlDataType="double"/>
    </xmlCellPr>
  </singleXmlCell>
  <singleXmlCell id="466" r="C46" connectionId="0">
    <xmlCellPr id="1" uniqueName="1">
      <xmlPr mapId="43" xpath="/ns1:Root/ns1:F2/ns1:Advocacy__Commun__SocMob_Cumulative_Budget__in___" xmlDataType="double"/>
    </xmlCellPr>
  </singleXmlCell>
  <singleXmlCell id="467" r="D46" connectionId="0">
    <xmlCellPr id="1" uniqueName="1">
      <xmlPr mapId="43" xpath="/ns1:Root/ns1:F2/ns1:Advocacy__Commun__SocMob_Cumulative_Expenditures__in___" xmlDataType="double"/>
    </xmlCellPr>
  </singleXmlCell>
  <singleXmlCell id="468" r="C47" connectionId="0">
    <xmlCellPr id="1" uniqueName="1">
      <xmlPr mapId="43" xpath="/ns1:Root/ns1:F2/ns1:Environ__Community_TB_care__Cumulative_Budget__in___" xmlDataType="double"/>
    </xmlCellPr>
  </singleXmlCell>
  <singleXmlCell id="469" r="D47" connectionId="0">
    <xmlCellPr id="1" uniqueName="1">
      <xmlPr mapId="43" xpath="/ns1:Root/ns1:F2/ns1:Environ__Community_TB_care__Cumulative_Expenditures__in___" xmlDataType="double"/>
    </xmlCellPr>
  </singleXmlCell>
  <singleXmlCell id="470" r="C48" connectionId="0">
    <xmlCellPr id="1" uniqueName="1">
      <xmlPr mapId="43" xpath="/ns1:Root/ns1:F2/ns1:_Cumulative_Budget__in____1" xmlDataType="string"/>
    </xmlCellPr>
  </singleXmlCell>
  <singleXmlCell id="471" r="D48" connectionId="0">
    <xmlCellPr id="1" uniqueName="1">
      <xmlPr mapId="43" xpath="/ns1:Root/ns1:F2/ns1:_Cumulative_Expenditures__in____1" xmlDataType="string"/>
    </xmlCellPr>
  </singleXmlCell>
  <singleXmlCell id="472" r="C49" connectionId="0">
    <xmlCellPr id="1" uniqueName="1">
      <xmlPr mapId="43" xpath="/ns1:Root/ns1:F2/ns1:_Cumulative_Budget__in____2" xmlDataType="string"/>
    </xmlCellPr>
  </singleXmlCell>
  <singleXmlCell id="473" r="D49" connectionId="0">
    <xmlCellPr id="1" uniqueName="1">
      <xmlPr mapId="43" xpath="/ns1:Root/ns1:F2/ns1:_Cumulative_Expenditures__in____2" xmlDataType="string"/>
    </xmlCellPr>
  </singleXmlCell>
  <singleXmlCell id="474" r="C50" connectionId="0">
    <xmlCellPr id="1" uniqueName="1">
      <xmlPr mapId="43" xpath="/ns1:Root/ns1:F2/ns1:_Cumulative_Budget__in___" xmlDataType="string"/>
    </xmlCellPr>
  </singleXmlCell>
  <singleXmlCell id="475" r="D50" connectionId="0">
    <xmlCellPr id="1" uniqueName="1">
      <xmlPr mapId="43" xpath="/ns1:Root/ns1:F2/ns1:_Cumulative_Expenditures__in___" xmlDataType="string"/>
    </xmlCellPr>
  </singleXmlCell>
  <singleXmlCell id="476" r="C56" connectionId="0">
    <xmlCellPr id="1" uniqueName="1">
      <xmlPr mapId="43" xpath="/ns1:Root/ns1:F3/ns1:Disbursed_by_Global_Fund_Prior_to_reporting_period__in___" xmlDataType="double"/>
    </xmlCellPr>
  </singleXmlCell>
  <singleXmlCell id="477" r="D56" connectionId="0">
    <xmlCellPr id="1" uniqueName="1">
      <xmlPr mapId="43" xpath="/ns1:Root/ns1:F3/ns1:Disbursed_by_Global_Fund_Reporting_period__in___" xmlDataType="double"/>
    </xmlCellPr>
  </singleXmlCell>
  <singleXmlCell id="478" r="C57" connectionId="0">
    <xmlCellPr id="1" uniqueName="1">
      <xmlPr mapId="43" xpath="/ns1:Root/ns1:F3/ns1:PR_expenditure_and_disbursement_Prior_to_reporting_period__in___" xmlDataType="double"/>
    </xmlCellPr>
  </singleXmlCell>
  <singleXmlCell id="479" r="D57" connectionId="0">
    <xmlCellPr id="1" uniqueName="1">
      <xmlPr mapId="43" xpath="/ns1:Root/ns1:F3/ns1:PR_expenditure_and_disbursement_Reporting_period__in___" xmlDataType="double"/>
    </xmlCellPr>
  </singleXmlCell>
  <singleXmlCell id="480" r="C58" connectionId="0">
    <xmlCellPr id="1" uniqueName="1">
      <xmlPr mapId="43" xpath="/ns1:Root/ns1:F3/ns1:Disbursed_to_SRs_Prior_to_reporting_period__in___" xmlDataType="double"/>
    </xmlCellPr>
  </singleXmlCell>
  <singleXmlCell id="481" r="D58" connectionId="0">
    <xmlCellPr id="1" uniqueName="1">
      <xmlPr mapId="43" xpath="/ns1:Root/ns1:F3/ns1:Disbursed_to_SRs_Reporting_period__in___" xmlDataType="double"/>
    </xmlCellPr>
  </singleXmlCell>
  <singleXmlCell id="482" r="C59" connectionId="0">
    <xmlCellPr id="1" uniqueName="1">
      <xmlPr mapId="43" xpath="/ns1:Root/ns1:F3/ns1:SR_expenditures_Prior_to_reporting_period__in___" xmlDataType="double"/>
    </xmlCellPr>
  </singleXmlCell>
  <singleXmlCell id="483" r="D59" connectionId="0">
    <xmlCellPr id="1" uniqueName="1">
      <xmlPr mapId="43" xpath="/ns1:Root/ns1:F3/ns1:SR_expenditures_Reporting_period__in___" xmlDataType="double"/>
    </xmlCellPr>
  </singleXmlCell>
  <singleXmlCell id="484" r="C66" connectionId="0">
    <xmlCellPr id="1" uniqueName="1">
      <xmlPr mapId="43" xpath="/ns1:Root/ns1:F4/ns1:Days_taken_to_submit_acceptable_PU_DR_to_LFA_Expected__days_" xmlDataType="double"/>
    </xmlCellPr>
  </singleXmlCell>
  <singleXmlCell id="485" r="D66" connectionId="0">
    <xmlCellPr id="1" uniqueName="1">
      <xmlPr mapId="43" xpath="/ns1:Root/ns1:F4/ns1:Days_taken_to_submit_acceptable_PU_DR_to_LFA_Actual__days_" xmlDataType="double"/>
    </xmlCellPr>
  </singleXmlCell>
  <singleXmlCell id="486" r="C67" connectionId="0">
    <xmlCellPr id="1" uniqueName="1">
      <xmlPr mapId="43" xpath="/ns1:Root/ns1:F4/ns1:Days_taken_for_disbursement_to_reach_PR_Expected__days_" xmlDataType="double"/>
    </xmlCellPr>
  </singleXmlCell>
  <singleXmlCell id="487" r="D67" connectionId="0">
    <xmlCellPr id="1" uniqueName="1">
      <xmlPr mapId="43" xpath="/ns1:Root/ns1:F4/ns1:Days_taken_for_disbursement_to_reach_PR_Actual__days_" xmlDataType="double"/>
    </xmlCellPr>
  </singleXmlCell>
  <singleXmlCell id="488" r="C68" connectionId="0">
    <xmlCellPr id="1" uniqueName="1">
      <xmlPr mapId="43" xpath="/ns1:Root/ns1:F4/ns1:Days_taken_for_disbursement_to_reach_SRs__Expected__days_" xmlDataType="double"/>
    </xmlCellPr>
  </singleXmlCell>
  <singleXmlCell id="489" r="D68" connectionId="0">
    <xmlCellPr id="1" uniqueName="1">
      <xmlPr mapId="43" xpath="/ns1:Root/ns1:F4/ns1:Days_taken_for_disbursement_to_reach_SRs__Actual__days_" xmlDataType="double"/>
    </xmlCellPr>
  </singleXmlCell>
  <singleXmlCell id="490" r="B76" connectionId="0">
    <xmlCellPr id="1" uniqueName="1">
      <xmlPr mapId="43" xpath="/ns1:Root/ns1:M1/ns1:Conditions_precedents__CPs__" xmlDataType="string"/>
    </xmlCellPr>
  </singleXmlCell>
  <singleXmlCell id="491" r="D76" connectionId="0">
    <xmlCellPr id="1" uniqueName="1">
      <xmlPr mapId="43" xpath="/ns1:Root/ns1:M1/ns1:Conditions_precedents__CPs__Fulfilled" xmlDataType="double"/>
    </xmlCellPr>
  </singleXmlCell>
  <singleXmlCell id="492" r="E76" connectionId="0">
    <xmlCellPr id="1" uniqueName="1">
      <xmlPr mapId="43" xpath="/ns1:Root/ns1:M1/ns1:Conditions_precedents__CPs__Not_fulfilled__but_within_deadline" xmlDataType="double"/>
    </xmlCellPr>
  </singleXmlCell>
  <singleXmlCell id="493" r="F76" connectionId="0">
    <xmlCellPr id="1" uniqueName="1">
      <xmlPr mapId="43" xpath="/ns1:Root/ns1:M1/ns1:Conditions_precedents__CPs__Not_fulfilled__and_past_the_deadline" xmlDataType="double"/>
    </xmlCellPr>
  </singleXmlCell>
  <singleXmlCell id="494" r="B77" connectionId="0">
    <xmlCellPr id="1" uniqueName="1">
      <xmlPr mapId="43" xpath="/ns1:Root/ns1:M1/ns1:Time_Bound_Actions__TBAs__" xmlDataType="string"/>
    </xmlCellPr>
  </singleXmlCell>
  <singleXmlCell id="495" r="D77" connectionId="0">
    <xmlCellPr id="1" uniqueName="1">
      <xmlPr mapId="43" xpath="/ns1:Root/ns1:M1/ns1:Time_Bound_Actions__TBAs__Fulfilled" xmlDataType="double"/>
    </xmlCellPr>
  </singleXmlCell>
  <singleXmlCell id="496" r="E77" connectionId="0">
    <xmlCellPr id="1" uniqueName="1">
      <xmlPr mapId="43" xpath="/ns1:Root/ns1:M1/ns1:Time_Bound_Actions__TBAs__Not_fulfilled__but_within_deadline" xmlDataType="string"/>
    </xmlCellPr>
  </singleXmlCell>
  <singleXmlCell id="497" r="F77" connectionId="0">
    <xmlCellPr id="1" uniqueName="1">
      <xmlPr mapId="43" xpath="/ns1:Root/ns1:M1/ns1:Time_Bound_Actions__TBAs__Not_fulfilled__and_past_the_deadline" xmlDataType="double"/>
    </xmlCellPr>
  </singleXmlCell>
  <singleXmlCell id="498" r="C83" connectionId="0">
    <xmlCellPr id="1" uniqueName="1">
      <xmlPr mapId="43" xpath="/ns1:Root/ns1:M2/ns1:PMU_Planned" xmlDataType="double"/>
    </xmlCellPr>
  </singleXmlCell>
  <singleXmlCell id="499" r="D83" connectionId="0">
    <xmlCellPr id="1" uniqueName="1">
      <xmlPr mapId="43" xpath="/ns1:Root/ns1:M2/ns1:PMU_Filled" xmlDataType="double"/>
    </xmlCellPr>
  </singleXmlCell>
  <singleXmlCell id="500" r="C88" connectionId="0">
    <xmlCellPr id="1" uniqueName="1">
      <xmlPr mapId="43" xpath="/ns1:Root/ns1:M3/ns1:SRs_Identified" xmlDataType="double"/>
    </xmlCellPr>
  </singleXmlCell>
  <singleXmlCell id="501" r="D88" connectionId="0">
    <xmlCellPr id="1" uniqueName="1">
      <xmlPr mapId="43" xpath="/ns1:Root/ns1:M3/ns1:SRs_Assessed" xmlDataType="double"/>
    </xmlCellPr>
  </singleXmlCell>
  <singleXmlCell id="502" r="E88" connectionId="0">
    <xmlCellPr id="1" uniqueName="1">
      <xmlPr mapId="43" xpath="/ns1:Root/ns1:M3/ns1:SRs_Approved" xmlDataType="double"/>
    </xmlCellPr>
  </singleXmlCell>
  <singleXmlCell id="503" r="F88" connectionId="0">
    <xmlCellPr id="1" uniqueName="1">
      <xmlPr mapId="43" xpath="/ns1:Root/ns1:M3/ns1:SRs_Signed" xmlDataType="double"/>
    </xmlCellPr>
  </singleXmlCell>
  <singleXmlCell id="504" r="G88" connectionId="0">
    <xmlCellPr id="1" uniqueName="1">
      <xmlPr mapId="43" xpath="/ns1:Root/ns1:M3/ns1:SRs_Receiving_Funding" xmlDataType="double"/>
    </xmlCellPr>
  </singleXmlCell>
  <singleXmlCell id="506" r="C93" connectionId="0">
    <xmlCellPr id="1" uniqueName="1">
      <xmlPr mapId="43" xpath="/ns1:Root/ns1:M4/ns1:SSR_to_SR__IR_____Expected" xmlDataType="string"/>
    </xmlCellPr>
  </singleXmlCell>
  <singleXmlCell id="507" r="D93" connectionId="0">
    <xmlCellPr id="1" uniqueName="1">
      <xmlPr mapId="43" xpath="/ns1:Root/ns1:M4/ns1:SSR_to_SR__IR____Received" xmlDataType="string"/>
    </xmlCellPr>
  </singleXmlCell>
  <singleXmlCell id="509" r="C94" connectionId="0">
    <xmlCellPr id="1" uniqueName="1">
      <xmlPr mapId="43" xpath="/ns1:Root/ns1:M4/ns1:SRs__IRs__to_PR____Expected" xmlDataType="double"/>
    </xmlCellPr>
  </singleXmlCell>
  <singleXmlCell id="510" r="D94" connectionId="0">
    <xmlCellPr id="1" uniqueName="1">
      <xmlPr mapId="43" xpath="/ns1:Root/ns1:M4/ns1:SRs__IRs__to_PR___Received" xmlDataType="double"/>
    </xmlCellPr>
  </singleXmlCell>
  <singleXmlCell id="511" r="C99" connectionId="0">
    <xmlCellPr id="1" uniqueName="1">
      <xmlPr mapId="43" xpath="/ns1:Root/ns1:M5/ns1:Budget_Approved__P1" xmlDataType="double"/>
    </xmlCellPr>
  </singleXmlCell>
  <singleXmlCell id="512" r="D99" connectionId="0">
    <xmlCellPr id="1" uniqueName="1">
      <xmlPr mapId="43" xpath="/ns1:Root/ns1:M5/ns1:Budget_Approved__P2" xmlDataType="double"/>
    </xmlCellPr>
  </singleXmlCell>
  <singleXmlCell id="513" r="E99" connectionId="0">
    <xmlCellPr id="1" uniqueName="1">
      <xmlPr mapId="43" xpath="/ns1:Root/ns1:M5/ns1:Budget_Approved__P3" xmlDataType="double"/>
    </xmlCellPr>
  </singleXmlCell>
  <singleXmlCell id="514" r="F99" connectionId="0">
    <xmlCellPr id="1" uniqueName="1">
      <xmlPr mapId="43" xpath="/ns1:Root/ns1:M5/ns1:Budget_Approved__P4" xmlDataType="double"/>
    </xmlCellPr>
  </singleXmlCell>
  <singleXmlCell id="515" r="G99" connectionId="0">
    <xmlCellPr id="1" uniqueName="1">
      <xmlPr mapId="43" xpath="/ns1:Root/ns1:M5/ns1:Budget_Approved__P5" xmlDataType="double"/>
    </xmlCellPr>
  </singleXmlCell>
  <singleXmlCell id="516" r="H99" connectionId="0">
    <xmlCellPr id="1" uniqueName="1">
      <xmlPr mapId="43" xpath="/ns1:Root/ns1:M5/ns1:Budget_Approved__P6" xmlDataType="double"/>
    </xmlCellPr>
  </singleXmlCell>
  <singleXmlCell id="517" r="I99" connectionId="0">
    <xmlCellPr id="1" uniqueName="1">
      <xmlPr mapId="43" xpath="/ns1:Root/ns1:M5/ns1:Budget_Approved__P7" xmlDataType="double"/>
    </xmlCellPr>
  </singleXmlCell>
  <singleXmlCell id="518" r="J99" connectionId="0">
    <xmlCellPr id="1" uniqueName="1">
      <xmlPr mapId="43" xpath="/ns1:Root/ns1:M5/ns1:Budget_Approved__P8" xmlDataType="double"/>
    </xmlCellPr>
  </singleXmlCell>
  <singleXmlCell id="519" r="K99" connectionId="0">
    <xmlCellPr id="1" uniqueName="1">
      <xmlPr mapId="43" xpath="/ns1:Root/ns1:M5/ns1:Budget_Approved__P9" xmlDataType="double"/>
    </xmlCellPr>
  </singleXmlCell>
  <singleXmlCell id="520" r="L99" connectionId="0">
    <xmlCellPr id="1" uniqueName="1">
      <xmlPr mapId="43" xpath="/ns1:Root/ns1:M5/ns1:Budget_Approved__P10" xmlDataType="double"/>
    </xmlCellPr>
  </singleXmlCell>
  <singleXmlCell id="521" r="M99" connectionId="0">
    <xmlCellPr id="1" uniqueName="1">
      <xmlPr mapId="43" xpath="/ns1:Root/ns1:M5/ns1:Budget_Approved__P11" xmlDataType="double"/>
    </xmlCellPr>
  </singleXmlCell>
  <singleXmlCell id="522" r="N99" connectionId="0">
    <xmlCellPr id="1" uniqueName="1">
      <xmlPr mapId="43" xpath="/ns1:Root/ns1:M5/ns1:Budget_Approved__P12" xmlDataType="double"/>
    </xmlCellPr>
  </singleXmlCell>
  <singleXmlCell id="523" r="C100" connectionId="0">
    <xmlCellPr id="1" uniqueName="1">
      <xmlPr mapId="43" xpath="/ns1:Root/ns1:M5/ns1:Obligations_P1" xmlDataType="double"/>
    </xmlCellPr>
  </singleXmlCell>
  <singleXmlCell id="524" r="D100" connectionId="0">
    <xmlCellPr id="1" uniqueName="1">
      <xmlPr mapId="43" xpath="/ns1:Root/ns1:M5/ns1:Obligations_P2" xmlDataType="double"/>
    </xmlCellPr>
  </singleXmlCell>
  <singleXmlCell id="525" r="E100" connectionId="0">
    <xmlCellPr id="1" uniqueName="1">
      <xmlPr mapId="43" xpath="/ns1:Root/ns1:M5/ns1:Obligations_P3" xmlDataType="double"/>
    </xmlCellPr>
  </singleXmlCell>
  <singleXmlCell id="526" r="F100" connectionId="0">
    <xmlCellPr id="1" uniqueName="1">
      <xmlPr mapId="43" xpath="/ns1:Root/ns1:M5/ns1:Obligations_P4" xmlDataType="double"/>
    </xmlCellPr>
  </singleXmlCell>
  <singleXmlCell id="527" r="G100" connectionId="0">
    <xmlCellPr id="1" uniqueName="1">
      <xmlPr mapId="43" xpath="/ns1:Root/ns1:M5/ns1:Obligations_P5" xmlDataType="double"/>
    </xmlCellPr>
  </singleXmlCell>
  <singleXmlCell id="528" r="H100" connectionId="0">
    <xmlCellPr id="1" uniqueName="1">
      <xmlPr mapId="43" xpath="/ns1:Root/ns1:M5/ns1:Obligations_P6" xmlDataType="double"/>
    </xmlCellPr>
  </singleXmlCell>
  <singleXmlCell id="529" r="I100" connectionId="0">
    <xmlCellPr id="1" uniqueName="1">
      <xmlPr mapId="43" xpath="/ns1:Root/ns1:M5/ns1:Obligations_P7" xmlDataType="double"/>
    </xmlCellPr>
  </singleXmlCell>
  <singleXmlCell id="530" r="J100" connectionId="0">
    <xmlCellPr id="1" uniqueName="1">
      <xmlPr mapId="43" xpath="/ns1:Root/ns1:M5/ns1:Obligations_P8" xmlDataType="double"/>
    </xmlCellPr>
  </singleXmlCell>
  <singleXmlCell id="531" r="K100" connectionId="0">
    <xmlCellPr id="1" uniqueName="1">
      <xmlPr mapId="43" xpath="/ns1:Root/ns1:M5/ns1:Obligations_P9" xmlDataType="double"/>
    </xmlCellPr>
  </singleXmlCell>
  <singleXmlCell id="532" r="L100" connectionId="0">
    <xmlCellPr id="1" uniqueName="1">
      <xmlPr mapId="43" xpath="/ns1:Root/ns1:M5/ns1:Obligations_P10" xmlDataType="double"/>
    </xmlCellPr>
  </singleXmlCell>
  <singleXmlCell id="533" r="M100" connectionId="0">
    <xmlCellPr id="1" uniqueName="1">
      <xmlPr mapId="43" xpath="/ns1:Root/ns1:M5/ns1:Obligations_P11" xmlDataType="double"/>
    </xmlCellPr>
  </singleXmlCell>
  <singleXmlCell id="534" r="N100" connectionId="0">
    <xmlCellPr id="1" uniqueName="1">
      <xmlPr mapId="43" xpath="/ns1:Root/ns1:M5/ns1:Obligations_P12" xmlDataType="double"/>
    </xmlCellPr>
  </singleXmlCell>
  <singleXmlCell id="535" r="C101" connectionId="0">
    <xmlCellPr id="1" uniqueName="1">
      <xmlPr mapId="43" xpath="/ns1:Root/ns1:M5/ns1:Expenditures_P1" xmlDataType="double"/>
    </xmlCellPr>
  </singleXmlCell>
  <singleXmlCell id="536" r="D101" connectionId="0">
    <xmlCellPr id="1" uniqueName="1">
      <xmlPr mapId="43" xpath="/ns1:Root/ns1:M5/ns1:Expenditures_P2" xmlDataType="double"/>
    </xmlCellPr>
  </singleXmlCell>
  <singleXmlCell id="537" r="E101" connectionId="0">
    <xmlCellPr id="1" uniqueName="1">
      <xmlPr mapId="43" xpath="/ns1:Root/ns1:M5/ns1:Expenditures_P3" xmlDataType="double"/>
    </xmlCellPr>
  </singleXmlCell>
  <singleXmlCell id="538" r="F101" connectionId="0">
    <xmlCellPr id="1" uniqueName="1">
      <xmlPr mapId="43" xpath="/ns1:Root/ns1:M5/ns1:Expenditures_P4" xmlDataType="double"/>
    </xmlCellPr>
  </singleXmlCell>
  <singleXmlCell id="539" r="G101" connectionId="0">
    <xmlCellPr id="1" uniqueName="1">
      <xmlPr mapId="43" xpath="/ns1:Root/ns1:M5/ns1:Expenditures_P5" xmlDataType="double"/>
    </xmlCellPr>
  </singleXmlCell>
  <singleXmlCell id="540" r="H101" connectionId="0">
    <xmlCellPr id="1" uniqueName="1">
      <xmlPr mapId="43" xpath="/ns1:Root/ns1:M5/ns1:Expenditures_P6" xmlDataType="double"/>
    </xmlCellPr>
  </singleXmlCell>
  <singleXmlCell id="541" r="I101" connectionId="0">
    <xmlCellPr id="1" uniqueName="1">
      <xmlPr mapId="43" xpath="/ns1:Root/ns1:M5/ns1:Expenditures_P7" xmlDataType="double"/>
    </xmlCellPr>
  </singleXmlCell>
  <singleXmlCell id="542" r="J101" connectionId="0">
    <xmlCellPr id="1" uniqueName="1">
      <xmlPr mapId="43" xpath="/ns1:Root/ns1:M5/ns1:Expenditures_P8" xmlDataType="double"/>
    </xmlCellPr>
  </singleXmlCell>
  <singleXmlCell id="543" r="K101" connectionId="0">
    <xmlCellPr id="1" uniqueName="1">
      <xmlPr mapId="43" xpath="/ns1:Root/ns1:M5/ns1:Expenditures_P9" xmlDataType="double"/>
    </xmlCellPr>
  </singleXmlCell>
  <singleXmlCell id="544" r="L101" connectionId="0">
    <xmlCellPr id="1" uniqueName="1">
      <xmlPr mapId="43" xpath="/ns1:Root/ns1:M5/ns1:Expenditures_P10" xmlDataType="double"/>
    </xmlCellPr>
  </singleXmlCell>
  <singleXmlCell id="545" r="M101" connectionId="0">
    <xmlCellPr id="1" uniqueName="1">
      <xmlPr mapId="43" xpath="/ns1:Root/ns1:M5/ns1:Expenditures_P11" xmlDataType="double"/>
    </xmlCellPr>
  </singleXmlCell>
  <singleXmlCell id="546" r="N101" connectionId="0">
    <xmlCellPr id="1" uniqueName="1">
      <xmlPr mapId="43" xpath="/ns1:Root/ns1:M5/ns1:Expenditures_P12" xmlDataType="double"/>
    </xmlCellPr>
  </singleXmlCell>
  <singleXmlCell id="547" r="C112" connectionId="0">
    <xmlCellPr id="1" uniqueName="1">
      <xmlPr mapId="43" xpath="/ns1:Root/ns1:M6/ns1:HIV___AIDS_Products" xmlDataType="string"/>
    </xmlCellPr>
  </singleXmlCell>
  <singleXmlCell id="548" r="D112" connectionId="0">
    <xmlCellPr id="1" uniqueName="1">
      <xmlPr mapId="43" xpath="/ns1:Root/ns1:M6/ns1:HIV___AIDS__1__Number_of_tablets_per_patient_per_day__Review_country_treatment_guidelines_" xmlDataType="double"/>
    </xmlCellPr>
  </singleXmlCell>
  <singleXmlCell id="549" r="F112" connectionId="0">
    <xmlCellPr id="1" uniqueName="1">
      <xmlPr mapId="43" xpath="/ns1:Root/ns1:M6/ns1:HIV___AIDS__3__Total_patients_in_treatment" xmlDataType="double"/>
    </xmlCellPr>
  </singleXmlCell>
  <singleXmlCell id="550" r="H112" connectionId="0">
    <xmlCellPr id="1" uniqueName="1">
      <xmlPr mapId="43" xpath="/ns1:Root/ns1:M6/ns1:HIV___AIDS__5__Current_stock_in_central_warehouse__that_does_not_expire_within_the_next_3_months_" xmlDataType="double"/>
    </xmlCellPr>
  </singleXmlCell>
  <singleXmlCell id="551" r="J112" connectionId="0">
    <xmlCellPr id="1" uniqueName="1">
      <xmlPr mapId="43" xpath="/ns1:Root/ns1:M6/ns1:HIV___AIDS__7__Level_of_safety_stock__expressed_in_months_and_defined_by_country__" xmlDataType="double"/>
    </xmlCellPr>
  </singleXmlCell>
  <singleXmlCell id="552" r="C113" connectionId="0">
    <xmlCellPr id="1" uniqueName="1">
      <xmlPr mapId="43" xpath="/ns1:Root/ns1:M6/ns1:_Products_1" xmlDataType="string"/>
    </xmlCellPr>
  </singleXmlCell>
  <singleXmlCell id="553" r="D113" connectionId="0">
    <xmlCellPr id="1" uniqueName="1">
      <xmlPr mapId="43" xpath="/ns1:Root/ns1:M6/ns1:__1__Number_of_tablets_per_patient_per_day__Review_country_treatment_guidelines__1" xmlDataType="double"/>
    </xmlCellPr>
  </singleXmlCell>
  <singleXmlCell id="554" r="F113" connectionId="0">
    <xmlCellPr id="1" uniqueName="1">
      <xmlPr mapId="43" xpath="/ns1:Root/ns1:M6/ns1:__3__Total_patients_in_treatment_1" xmlDataType="double"/>
    </xmlCellPr>
  </singleXmlCell>
  <singleXmlCell id="555" r="H113" connectionId="0">
    <xmlCellPr id="1" uniqueName="1">
      <xmlPr mapId="43" xpath="/ns1:Root/ns1:M6/ns1:__5__Current_stock_in_central_warehouse__that_does_not_expire_within_the_next_3_months__1" xmlDataType="double"/>
    </xmlCellPr>
  </singleXmlCell>
  <singleXmlCell id="556" r="J113" connectionId="0">
    <xmlCellPr id="1" uniqueName="1">
      <xmlPr mapId="43" xpath="/ns1:Root/ns1:M6/ns1:__7__Level_of_safety_stock__expressed_in_months_and_defined_by_country___1" xmlDataType="double"/>
    </xmlCellPr>
  </singleXmlCell>
  <singleXmlCell id="557" r="C114" connectionId="0">
    <xmlCellPr id="1" uniqueName="1">
      <xmlPr mapId="43" xpath="/ns1:Root/ns1:M6/ns1:_Products_2" xmlDataType="string"/>
    </xmlCellPr>
  </singleXmlCell>
  <singleXmlCell id="558" r="D114" connectionId="0">
    <xmlCellPr id="1" uniqueName="1">
      <xmlPr mapId="43" xpath="/ns1:Root/ns1:M6/ns1:__1__Number_of_tablets_per_patient_per_day__Review_country_treatment_guidelines__2" xmlDataType="double"/>
    </xmlCellPr>
  </singleXmlCell>
  <singleXmlCell id="559" r="F114" connectionId="0">
    <xmlCellPr id="1" uniqueName="1">
      <xmlPr mapId="43" xpath="/ns1:Root/ns1:M6/ns1:__3__Total_patients_in_treatment_2" xmlDataType="double"/>
    </xmlCellPr>
  </singleXmlCell>
  <singleXmlCell id="560" r="H114" connectionId="0">
    <xmlCellPr id="1" uniqueName="1">
      <xmlPr mapId="43" xpath="/ns1:Root/ns1:M6/ns1:__5__Current_stock_in_central_warehouse__that_does_not_expire_within_the_next_3_months__2" xmlDataType="double"/>
    </xmlCellPr>
  </singleXmlCell>
  <singleXmlCell id="561" r="J114" connectionId="0">
    <xmlCellPr id="1" uniqueName="1">
      <xmlPr mapId="43" xpath="/ns1:Root/ns1:M6/ns1:__7__Level_of_safety_stock__expressed_in_months_and_defined_by_country___2" xmlDataType="double"/>
    </xmlCellPr>
  </singleXmlCell>
  <singleXmlCell id="562" r="C115" connectionId="0">
    <xmlCellPr id="1" uniqueName="1">
      <xmlPr mapId="43" xpath="/ns1:Root/ns1:M6/ns1:_Products" xmlDataType="string"/>
    </xmlCellPr>
  </singleXmlCell>
  <singleXmlCell id="563" r="D115" connectionId="0">
    <xmlCellPr id="1" uniqueName="1">
      <xmlPr mapId="43" xpath="/ns1:Root/ns1:M6/ns1:__1__Number_of_tablets_per_patient_per_day__Review_country_treatment_guidelines_" xmlDataType="double"/>
    </xmlCellPr>
  </singleXmlCell>
  <singleXmlCell id="564" r="F115" connectionId="0">
    <xmlCellPr id="1" uniqueName="1">
      <xmlPr mapId="43" xpath="/ns1:Root/ns1:M6/ns1:__3__Total_patients_in_treatment" xmlDataType="double"/>
    </xmlCellPr>
  </singleXmlCell>
  <singleXmlCell id="565" r="H115" connectionId="0">
    <xmlCellPr id="1" uniqueName="1">
      <xmlPr mapId="43" xpath="/ns1:Root/ns1:M6/ns1:__5__Current_stock_in_central_warehouse__that_does_not_expire_within_the_next_3_months_" xmlDataType="double"/>
    </xmlCellPr>
  </singleXmlCell>
  <singleXmlCell id="566" r="J115" connectionId="0">
    <xmlCellPr id="1" uniqueName="1">
      <xmlPr mapId="43" xpath="/ns1:Root/ns1:M6/ns1:__7__Level_of_safety_stock__expressed_in_months_and_defined_by_country__" xmlDataType="double"/>
    </xmlCellPr>
  </singleXmlCell>
  <singleXmlCell id="567" r="H122" connectionId="0">
    <xmlCellPr id="1" uniqueName="1">
      <xmlPr mapId="43" xpath="/ns1:Root/ns1:Prog/ns1:Target_P1_1" xmlDataType="double"/>
    </xmlCellPr>
  </singleXmlCell>
  <singleXmlCell id="568" r="I122" connectionId="0">
    <xmlCellPr id="1" uniqueName="1">
      <xmlPr mapId="43" xpath="/ns1:Root/ns1:Prog/ns1:Target_P2_1" xmlDataType="double"/>
    </xmlCellPr>
  </singleXmlCell>
  <singleXmlCell id="569" r="J122" connectionId="0">
    <xmlCellPr id="1" uniqueName="1">
      <xmlPr mapId="43" xpath="/ns1:Root/ns1:Prog/ns1:Target_P3_1" xmlDataType="double"/>
    </xmlCellPr>
  </singleXmlCell>
  <singleXmlCell id="570" r="K122" connectionId="0">
    <xmlCellPr id="1" uniqueName="1">
      <xmlPr mapId="43" xpath="/ns1:Root/ns1:Prog/ns1:Target_P4_1" xmlDataType="double"/>
    </xmlCellPr>
  </singleXmlCell>
  <singleXmlCell id="571" r="L122" connectionId="0">
    <xmlCellPr id="1" uniqueName="1">
      <xmlPr mapId="43" xpath="/ns1:Root/ns1:Prog/ns1:Target_P5_1" xmlDataType="double"/>
    </xmlCellPr>
  </singleXmlCell>
  <singleXmlCell id="572" r="M122" connectionId="0">
    <xmlCellPr id="1" uniqueName="1">
      <xmlPr mapId="43" xpath="/ns1:Root/ns1:Prog/ns1:Target_P6_1" xmlDataType="double"/>
    </xmlCellPr>
  </singleXmlCell>
  <singleXmlCell id="573" r="N122" connectionId="0">
    <xmlCellPr id="1" uniqueName="1">
      <xmlPr mapId="43" xpath="/ns1:Root/ns1:Prog/ns1:Target_P7_1" xmlDataType="double"/>
    </xmlCellPr>
  </singleXmlCell>
  <singleXmlCell id="574" r="O122" connectionId="0">
    <xmlCellPr id="1" uniqueName="1">
      <xmlPr mapId="43" xpath="/ns1:Root/ns1:Prog/ns1:Target_P8_1" xmlDataType="double"/>
    </xmlCellPr>
  </singleXmlCell>
  <singleXmlCell id="575" r="P122" connectionId="0">
    <xmlCellPr id="1" uniqueName="1">
      <xmlPr mapId="43" xpath="/ns1:Root/ns1:Prog/ns1:Target_P9_1" xmlDataType="double"/>
    </xmlCellPr>
  </singleXmlCell>
  <singleXmlCell id="576" r="Q122" connectionId="0">
    <xmlCellPr id="1" uniqueName="1">
      <xmlPr mapId="43" xpath="/ns1:Root/ns1:Prog/ns1:Target_P10_1" xmlDataType="double"/>
    </xmlCellPr>
  </singleXmlCell>
  <singleXmlCell id="577" r="R122" connectionId="0">
    <xmlCellPr id="1" uniqueName="1">
      <xmlPr mapId="43" xpath="/ns1:Root/ns1:Prog/ns1:Target_P11_1" xmlDataType="double"/>
    </xmlCellPr>
  </singleXmlCell>
  <singleXmlCell id="578" r="S122" connectionId="0">
    <xmlCellPr id="1" uniqueName="1">
      <xmlPr mapId="43" xpath="/ns1:Root/ns1:Prog/ns1:Target_P12_1" xmlDataType="double"/>
    </xmlCellPr>
  </singleXmlCell>
  <singleXmlCell id="579" r="H123" connectionId="0">
    <xmlCellPr id="1" uniqueName="1">
      <xmlPr mapId="43" xpath="/ns1:Root/ns1:Prog/ns1:Achieved__P1_1" xmlDataType="double"/>
    </xmlCellPr>
  </singleXmlCell>
  <singleXmlCell id="580" r="I123" connectionId="0">
    <xmlCellPr id="1" uniqueName="1">
      <xmlPr mapId="43" xpath="/ns1:Root/ns1:Prog/ns1:Achieved__P2_1" xmlDataType="double"/>
    </xmlCellPr>
  </singleXmlCell>
  <singleXmlCell id="581" r="J123" connectionId="0">
    <xmlCellPr id="1" uniqueName="1">
      <xmlPr mapId="43" xpath="/ns1:Root/ns1:Prog/ns1:Achieved__P3_1" xmlDataType="double"/>
    </xmlCellPr>
  </singleXmlCell>
  <singleXmlCell id="582" r="K123" connectionId="0">
    <xmlCellPr id="1" uniqueName="1">
      <xmlPr mapId="43" xpath="/ns1:Root/ns1:Prog/ns1:Achieved__P4_1" xmlDataType="double"/>
    </xmlCellPr>
  </singleXmlCell>
  <singleXmlCell id="583" r="L123" connectionId="0">
    <xmlCellPr id="1" uniqueName="1">
      <xmlPr mapId="43" xpath="/ns1:Root/ns1:Prog/ns1:Achieved__P5_1" xmlDataType="string"/>
    </xmlCellPr>
  </singleXmlCell>
  <singleXmlCell id="584" r="M123" connectionId="0">
    <xmlCellPr id="1" uniqueName="1">
      <xmlPr mapId="43" xpath="/ns1:Root/ns1:Prog/ns1:Achieved__P6_1" xmlDataType="string"/>
    </xmlCellPr>
  </singleXmlCell>
  <singleXmlCell id="585" r="N123" connectionId="0">
    <xmlCellPr id="1" uniqueName="1">
      <xmlPr mapId="43" xpath="/ns1:Root/ns1:Prog/ns1:Achieved__P7_1" xmlDataType="string"/>
    </xmlCellPr>
  </singleXmlCell>
  <singleXmlCell id="587" r="P123" connectionId="0">
    <xmlCellPr id="1" uniqueName="1">
      <xmlPr mapId="43" xpath="/ns1:Root/ns1:Prog/ns1:Achieved__P9_1" xmlDataType="string"/>
    </xmlCellPr>
  </singleXmlCell>
  <singleXmlCell id="588" r="Q123" connectionId="0">
    <xmlCellPr id="1" uniqueName="1">
      <xmlPr mapId="43" xpath="/ns1:Root/ns1:Prog/ns1:Achieved__P10_1" xmlDataType="string"/>
    </xmlCellPr>
  </singleXmlCell>
  <singleXmlCell id="589" r="R123" connectionId="0">
    <xmlCellPr id="1" uniqueName="1">
      <xmlPr mapId="43" xpath="/ns1:Root/ns1:Prog/ns1:Achieved__P11_1" xmlDataType="string"/>
    </xmlCellPr>
  </singleXmlCell>
  <singleXmlCell id="590" r="S123" connectionId="0">
    <xmlCellPr id="1" uniqueName="1">
      <xmlPr mapId="43" xpath="/ns1:Root/ns1:Prog/ns1:Achieved__P12_1" xmlDataType="string"/>
    </xmlCellPr>
  </singleXmlCell>
  <singleXmlCell id="591" r="H124" connectionId="0">
    <xmlCellPr id="1" uniqueName="1">
      <xmlPr mapId="43" xpath="/ns1:Root/ns1:Prog/ns1:Target_P1_2" xmlDataType="double"/>
    </xmlCellPr>
  </singleXmlCell>
  <singleXmlCell id="592" r="I124" connectionId="0">
    <xmlCellPr id="1" uniqueName="1">
      <xmlPr mapId="43" xpath="/ns1:Root/ns1:Prog/ns1:Target_P2_2" xmlDataType="double"/>
    </xmlCellPr>
  </singleXmlCell>
  <singleXmlCell id="593" r="J124" connectionId="0">
    <xmlCellPr id="1" uniqueName="1">
      <xmlPr mapId="43" xpath="/ns1:Root/ns1:Prog/ns1:Target_P3_2" xmlDataType="double"/>
    </xmlCellPr>
  </singleXmlCell>
  <singleXmlCell id="594" r="L124" connectionId="0">
    <xmlCellPr id="1" uniqueName="1">
      <xmlPr mapId="43" xpath="/ns1:Root/ns1:Prog/ns1:Target_P5_2" xmlDataType="double"/>
    </xmlCellPr>
  </singleXmlCell>
  <singleXmlCell id="595" r="M124" connectionId="0">
    <xmlCellPr id="1" uniqueName="1">
      <xmlPr mapId="43" xpath="/ns1:Root/ns1:Prog/ns1:Target_P6_2" xmlDataType="double"/>
    </xmlCellPr>
  </singleXmlCell>
  <singleXmlCell id="596" r="N124" connectionId="0">
    <xmlCellPr id="1" uniqueName="1">
      <xmlPr mapId="43" xpath="/ns1:Root/ns1:Prog/ns1:Target_P7_2" xmlDataType="double"/>
    </xmlCellPr>
  </singleXmlCell>
  <singleXmlCell id="598" r="P124" connectionId="0">
    <xmlCellPr id="1" uniqueName="1">
      <xmlPr mapId="43" xpath="/ns1:Root/ns1:Prog/ns1:Target_P9_2" xmlDataType="double"/>
    </xmlCellPr>
  </singleXmlCell>
  <singleXmlCell id="599" r="Q124" connectionId="0">
    <xmlCellPr id="1" uniqueName="1">
      <xmlPr mapId="43" xpath="/ns1:Root/ns1:Prog/ns1:Target_P10_2" xmlDataType="double"/>
    </xmlCellPr>
  </singleXmlCell>
  <singleXmlCell id="600" r="R124" connectionId="0">
    <xmlCellPr id="1" uniqueName="1">
      <xmlPr mapId="43" xpath="/ns1:Root/ns1:Prog/ns1:Target_P11_2" xmlDataType="double"/>
    </xmlCellPr>
  </singleXmlCell>
  <singleXmlCell id="601" r="S124" connectionId="0">
    <xmlCellPr id="1" uniqueName="1">
      <xmlPr mapId="43" xpath="/ns1:Root/ns1:Prog/ns1:Target_P12_2" xmlDataType="double"/>
    </xmlCellPr>
  </singleXmlCell>
  <singleXmlCell id="602" r="H125" connectionId="0">
    <xmlCellPr id="1" uniqueName="1">
      <xmlPr mapId="43" xpath="/ns1:Root/ns1:Prog/ns1:Achieved__P1_2" xmlDataType="double"/>
    </xmlCellPr>
  </singleXmlCell>
  <singleXmlCell id="603" r="I125" connectionId="0">
    <xmlCellPr id="1" uniqueName="1">
      <xmlPr mapId="43" xpath="/ns1:Root/ns1:Prog/ns1:Achieved__P2_2" xmlDataType="double"/>
    </xmlCellPr>
  </singleXmlCell>
  <singleXmlCell id="604" r="J125" connectionId="0">
    <xmlCellPr id="1" uniqueName="1">
      <xmlPr mapId="43" xpath="/ns1:Root/ns1:Prog/ns1:Achieved__P3_2" xmlDataType="double"/>
    </xmlCellPr>
  </singleXmlCell>
  <singleXmlCell id="605" r="K125" connectionId="0">
    <xmlCellPr id="1" uniqueName="1">
      <xmlPr mapId="43" xpath="/ns1:Root/ns1:Prog/ns1:Achieved__P4_2" xmlDataType="double"/>
    </xmlCellPr>
  </singleXmlCell>
  <singleXmlCell id="606" r="L125" connectionId="0">
    <xmlCellPr id="1" uniqueName="1">
      <xmlPr mapId="43" xpath="/ns1:Root/ns1:Prog/ns1:Achieved__P5_2" xmlDataType="string"/>
    </xmlCellPr>
  </singleXmlCell>
  <singleXmlCell id="607" r="M125" connectionId="0">
    <xmlCellPr id="1" uniqueName="1">
      <xmlPr mapId="43" xpath="/ns1:Root/ns1:Prog/ns1:Achieved__P6_2" xmlDataType="string"/>
    </xmlCellPr>
  </singleXmlCell>
  <singleXmlCell id="608" r="N125" connectionId="0">
    <xmlCellPr id="1" uniqueName="1">
      <xmlPr mapId="43" xpath="/ns1:Root/ns1:Prog/ns1:Achieved__P7_2" xmlDataType="string"/>
    </xmlCellPr>
  </singleXmlCell>
  <singleXmlCell id="610" r="P125" connectionId="0">
    <xmlCellPr id="1" uniqueName="1">
      <xmlPr mapId="43" xpath="/ns1:Root/ns1:Prog/ns1:Achieved__P9_2" xmlDataType="string"/>
    </xmlCellPr>
  </singleXmlCell>
  <singleXmlCell id="611" r="Q125" connectionId="0">
    <xmlCellPr id="1" uniqueName="1">
      <xmlPr mapId="43" xpath="/ns1:Root/ns1:Prog/ns1:Achieved__P10_2" xmlDataType="string"/>
    </xmlCellPr>
  </singleXmlCell>
  <singleXmlCell id="612" r="R125" connectionId="0">
    <xmlCellPr id="1" uniqueName="1">
      <xmlPr mapId="43" xpath="/ns1:Root/ns1:Prog/ns1:Achieved__P11_2" xmlDataType="string"/>
    </xmlCellPr>
  </singleXmlCell>
  <singleXmlCell id="613" r="S125" connectionId="0">
    <xmlCellPr id="1" uniqueName="1">
      <xmlPr mapId="43" xpath="/ns1:Root/ns1:Prog/ns1:Achieved__P12_2" xmlDataType="string"/>
    </xmlCellPr>
  </singleXmlCell>
  <singleXmlCell id="614" r="H126" connectionId="0">
    <xmlCellPr id="1" uniqueName="1">
      <xmlPr mapId="43" xpath="/ns1:Root/ns1:Prog/ns1:Target_P1_3" xmlDataType="double"/>
    </xmlCellPr>
  </singleXmlCell>
  <singleXmlCell id="615" r="I126" connectionId="0">
    <xmlCellPr id="1" uniqueName="1">
      <xmlPr mapId="43" xpath="/ns1:Root/ns1:Prog/ns1:Target_P2_3" xmlDataType="double"/>
    </xmlCellPr>
  </singleXmlCell>
  <singleXmlCell id="616" r="J126" connectionId="0">
    <xmlCellPr id="1" uniqueName="1">
      <xmlPr mapId="43" xpath="/ns1:Root/ns1:Prog/ns1:Target_P3_3" xmlDataType="double"/>
    </xmlCellPr>
  </singleXmlCell>
  <singleXmlCell id="617" r="K126" connectionId="0">
    <xmlCellPr id="1" uniqueName="1">
      <xmlPr mapId="43" xpath="/ns1:Root/ns1:Prog/ns1:Target_P4_3" xmlDataType="double"/>
    </xmlCellPr>
  </singleXmlCell>
  <singleXmlCell id="618" r="L126" connectionId="0">
    <xmlCellPr id="1" uniqueName="1">
      <xmlPr mapId="43" xpath="/ns1:Root/ns1:Prog/ns1:Target_P5_3" xmlDataType="double"/>
    </xmlCellPr>
  </singleXmlCell>
  <singleXmlCell id="619" r="M126" connectionId="0">
    <xmlCellPr id="1" uniqueName="1">
      <xmlPr mapId="43" xpath="/ns1:Root/ns1:Prog/ns1:Target_P6_3" xmlDataType="double"/>
    </xmlCellPr>
  </singleXmlCell>
  <singleXmlCell id="620" r="N126" connectionId="0">
    <xmlCellPr id="1" uniqueName="1">
      <xmlPr mapId="43" xpath="/ns1:Root/ns1:Prog/ns1:Target_P7_3" xmlDataType="double"/>
    </xmlCellPr>
  </singleXmlCell>
  <singleXmlCell id="622" r="P126" connectionId="0">
    <xmlCellPr id="1" uniqueName="1">
      <xmlPr mapId="43" xpath="/ns1:Root/ns1:Prog/ns1:Target_P9_3" xmlDataType="double"/>
    </xmlCellPr>
  </singleXmlCell>
  <singleXmlCell id="623" r="Q126" connectionId="0">
    <xmlCellPr id="1" uniqueName="1">
      <xmlPr mapId="43" xpath="/ns1:Root/ns1:Prog/ns1:Target_P10_3" xmlDataType="string"/>
    </xmlCellPr>
  </singleXmlCell>
  <singleXmlCell id="624" r="R126" connectionId="0">
    <xmlCellPr id="1" uniqueName="1">
      <xmlPr mapId="43" xpath="/ns1:Root/ns1:Prog/ns1:Target_P11_3" xmlDataType="string"/>
    </xmlCellPr>
  </singleXmlCell>
  <singleXmlCell id="625" r="S126" connectionId="0">
    <xmlCellPr id="1" uniqueName="1">
      <xmlPr mapId="43" xpath="/ns1:Root/ns1:Prog/ns1:Target_P12_3" xmlDataType="double"/>
    </xmlCellPr>
  </singleXmlCell>
  <singleXmlCell id="626" r="H127" connectionId="0">
    <xmlCellPr id="1" uniqueName="1">
      <xmlPr mapId="43" xpath="/ns1:Root/ns1:Prog/ns1:Achieved__P1_3" xmlDataType="string"/>
    </xmlCellPr>
  </singleXmlCell>
  <singleXmlCell id="627" r="I127" connectionId="0">
    <xmlCellPr id="1" uniqueName="1">
      <xmlPr mapId="43" xpath="/ns1:Root/ns1:Prog/ns1:Achieved__P2_3" xmlDataType="double"/>
    </xmlCellPr>
  </singleXmlCell>
  <singleXmlCell id="628" r="J127" connectionId="0">
    <xmlCellPr id="1" uniqueName="1">
      <xmlPr mapId="43" xpath="/ns1:Root/ns1:Prog/ns1:Achieved__P3_3" xmlDataType="string"/>
    </xmlCellPr>
  </singleXmlCell>
  <singleXmlCell id="629" r="K127" connectionId="0">
    <xmlCellPr id="1" uniqueName="1">
      <xmlPr mapId="43" xpath="/ns1:Root/ns1:Prog/ns1:Achieved__P4_3" xmlDataType="double"/>
    </xmlCellPr>
  </singleXmlCell>
  <singleXmlCell id="630" r="L127" connectionId="0">
    <xmlCellPr id="1" uniqueName="1">
      <xmlPr mapId="43" xpath="/ns1:Root/ns1:Prog/ns1:Achieved__P5_3" xmlDataType="string"/>
    </xmlCellPr>
  </singleXmlCell>
  <singleXmlCell id="631" r="M127" connectionId="0">
    <xmlCellPr id="1" uniqueName="1">
      <xmlPr mapId="43" xpath="/ns1:Root/ns1:Prog/ns1:Achieved__P6_3" xmlDataType="string"/>
    </xmlCellPr>
  </singleXmlCell>
  <singleXmlCell id="632" r="N127" connectionId="0">
    <xmlCellPr id="1" uniqueName="1">
      <xmlPr mapId="43" xpath="/ns1:Root/ns1:Prog/ns1:Achieved__P7_3" xmlDataType="string"/>
    </xmlCellPr>
  </singleXmlCell>
  <singleXmlCell id="634" r="P127" connectionId="0">
    <xmlCellPr id="1" uniqueName="1">
      <xmlPr mapId="43" xpath="/ns1:Root/ns1:Prog/ns1:Achieved__P9_3" xmlDataType="string"/>
    </xmlCellPr>
  </singleXmlCell>
  <singleXmlCell id="635" r="Q127" connectionId="0">
    <xmlCellPr id="1" uniqueName="1">
      <xmlPr mapId="43" xpath="/ns1:Root/ns1:Prog/ns1:Achieved__P10_3" xmlDataType="string"/>
    </xmlCellPr>
  </singleXmlCell>
  <singleXmlCell id="636" r="R127" connectionId="0">
    <xmlCellPr id="1" uniqueName="1">
      <xmlPr mapId="43" xpath="/ns1:Root/ns1:Prog/ns1:Achieved__P11_3" xmlDataType="string"/>
    </xmlCellPr>
  </singleXmlCell>
  <singleXmlCell id="637" r="S127" connectionId="0">
    <xmlCellPr id="1" uniqueName="1">
      <xmlPr mapId="43" xpath="/ns1:Root/ns1:Prog/ns1:Achieved__P12_3" xmlDataType="string"/>
    </xmlCellPr>
  </singleXmlCell>
  <singleXmlCell id="638" r="H128" connectionId="0">
    <xmlCellPr id="1" uniqueName="1">
      <xmlPr mapId="43" xpath="/ns1:Root/ns1:Prog/ns1:Target_P1_4" xmlDataType="string"/>
    </xmlCellPr>
  </singleXmlCell>
  <singleXmlCell id="639" r="I128" connectionId="0">
    <xmlCellPr id="1" uniqueName="1">
      <xmlPr mapId="43" xpath="/ns1:Root/ns1:Prog/ns1:Target_P2_4" xmlDataType="string"/>
    </xmlCellPr>
  </singleXmlCell>
  <singleXmlCell id="640" r="J128" connectionId="0">
    <xmlCellPr id="1" uniqueName="1">
      <xmlPr mapId="43" xpath="/ns1:Root/ns1:Prog/ns1:Target_P3_4" xmlDataType="string"/>
    </xmlCellPr>
  </singleXmlCell>
  <singleXmlCell id="641" r="K128" connectionId="0">
    <xmlCellPr id="1" uniqueName="1">
      <xmlPr mapId="43" xpath="/ns1:Root/ns1:Prog/ns1:Target_P4_4" xmlDataType="double"/>
    </xmlCellPr>
  </singleXmlCell>
  <singleXmlCell id="642" r="L128" connectionId="0">
    <xmlCellPr id="1" uniqueName="1">
      <xmlPr mapId="43" xpath="/ns1:Root/ns1:Prog/ns1:Target_P5_4" xmlDataType="string"/>
    </xmlCellPr>
  </singleXmlCell>
  <singleXmlCell id="643" r="M128" connectionId="0">
    <xmlCellPr id="1" uniqueName="1">
      <xmlPr mapId="43" xpath="/ns1:Root/ns1:Prog/ns1:Target_P6_4" xmlDataType="string"/>
    </xmlCellPr>
  </singleXmlCell>
  <singleXmlCell id="644" r="N128" connectionId="0">
    <xmlCellPr id="1" uniqueName="1">
      <xmlPr mapId="43" xpath="/ns1:Root/ns1:Prog/ns1:Target_P7_4" xmlDataType="string"/>
    </xmlCellPr>
  </singleXmlCell>
  <singleXmlCell id="646" r="P128" connectionId="0">
    <xmlCellPr id="1" uniqueName="1">
      <xmlPr mapId="43" xpath="/ns1:Root/ns1:Prog/ns1:Target_P9_4" xmlDataType="string"/>
    </xmlCellPr>
  </singleXmlCell>
  <singleXmlCell id="647" r="Q128" connectionId="0">
    <xmlCellPr id="1" uniqueName="1">
      <xmlPr mapId="43" xpath="/ns1:Root/ns1:Prog/ns1:Target_P10_4" xmlDataType="string"/>
    </xmlCellPr>
  </singleXmlCell>
  <singleXmlCell id="648" r="R128" connectionId="0">
    <xmlCellPr id="1" uniqueName="1">
      <xmlPr mapId="43" xpath="/ns1:Root/ns1:Prog/ns1:Target_P11_4" xmlDataType="string"/>
    </xmlCellPr>
  </singleXmlCell>
  <singleXmlCell id="649" r="S128" connectionId="0">
    <xmlCellPr id="1" uniqueName="1">
      <xmlPr mapId="43" xpath="/ns1:Root/ns1:Prog/ns1:Target_P12_4" xmlDataType="double"/>
    </xmlCellPr>
  </singleXmlCell>
  <singleXmlCell id="650" r="H129" connectionId="0">
    <xmlCellPr id="1" uniqueName="1">
      <xmlPr mapId="43" xpath="/ns1:Root/ns1:Prog/ns1:Achieved__P1_4" xmlDataType="string"/>
    </xmlCellPr>
  </singleXmlCell>
  <singleXmlCell id="651" r="I129" connectionId="0">
    <xmlCellPr id="1" uniqueName="1">
      <xmlPr mapId="43" xpath="/ns1:Root/ns1:Prog/ns1:Achieved__P2_4" xmlDataType="string"/>
    </xmlCellPr>
  </singleXmlCell>
  <singleXmlCell id="652" r="J129" connectionId="0">
    <xmlCellPr id="1" uniqueName="1">
      <xmlPr mapId="43" xpath="/ns1:Root/ns1:Prog/ns1:Achieved__P3_4" xmlDataType="string"/>
    </xmlCellPr>
  </singleXmlCell>
  <singleXmlCell id="653" r="K129" connectionId="0">
    <xmlCellPr id="1" uniqueName="1">
      <xmlPr mapId="43" xpath="/ns1:Root/ns1:Prog/ns1:Achieved__P4_4" xmlDataType="double"/>
    </xmlCellPr>
  </singleXmlCell>
  <singleXmlCell id="654" r="L129" connectionId="0">
    <xmlCellPr id="1" uniqueName="1">
      <xmlPr mapId="43" xpath="/ns1:Root/ns1:Prog/ns1:Achieved__P5_4" xmlDataType="string"/>
    </xmlCellPr>
  </singleXmlCell>
  <singleXmlCell id="655" r="M129" connectionId="0">
    <xmlCellPr id="1" uniqueName="1">
      <xmlPr mapId="43" xpath="/ns1:Root/ns1:Prog/ns1:Achieved__P6_4" xmlDataType="string"/>
    </xmlCellPr>
  </singleXmlCell>
  <singleXmlCell id="656" r="N129" connectionId="0">
    <xmlCellPr id="1" uniqueName="1">
      <xmlPr mapId="43" xpath="/ns1:Root/ns1:Prog/ns1:Achieved__P7_4" xmlDataType="string"/>
    </xmlCellPr>
  </singleXmlCell>
  <singleXmlCell id="658" r="P129" connectionId="0">
    <xmlCellPr id="1" uniqueName="1">
      <xmlPr mapId="43" xpath="/ns1:Root/ns1:Prog/ns1:Achieved__P9_4" xmlDataType="string"/>
    </xmlCellPr>
  </singleXmlCell>
  <singleXmlCell id="659" r="Q129" connectionId="0">
    <xmlCellPr id="1" uniqueName="1">
      <xmlPr mapId="43" xpath="/ns1:Root/ns1:Prog/ns1:Achieved__P10_4" xmlDataType="string"/>
    </xmlCellPr>
  </singleXmlCell>
  <singleXmlCell id="660" r="R129" connectionId="0">
    <xmlCellPr id="1" uniqueName="1">
      <xmlPr mapId="43" xpath="/ns1:Root/ns1:Prog/ns1:Achieved__P11_4" xmlDataType="string"/>
    </xmlCellPr>
  </singleXmlCell>
  <singleXmlCell id="661" r="S129" connectionId="0">
    <xmlCellPr id="1" uniqueName="1">
      <xmlPr mapId="43" xpath="/ns1:Root/ns1:Prog/ns1:Achieved__P12_4" xmlDataType="string"/>
    </xmlCellPr>
  </singleXmlCell>
  <singleXmlCell id="662" r="H130" connectionId="0">
    <xmlCellPr id="1" uniqueName="1">
      <xmlPr mapId="43" xpath="/ns1:Root/ns1:Prog/ns1:Target_P1_5" xmlDataType="double"/>
    </xmlCellPr>
  </singleXmlCell>
  <singleXmlCell id="663" r="I130" connectionId="0">
    <xmlCellPr id="1" uniqueName="1">
      <xmlPr mapId="43" xpath="/ns1:Root/ns1:Prog/ns1:Target_P2_5" xmlDataType="double"/>
    </xmlCellPr>
  </singleXmlCell>
  <singleXmlCell id="664" r="J130" connectionId="0">
    <xmlCellPr id="1" uniqueName="1">
      <xmlPr mapId="43" xpath="/ns1:Root/ns1:Prog/ns1:Target_P3_5" xmlDataType="double"/>
    </xmlCellPr>
  </singleXmlCell>
  <singleXmlCell id="665" r="K130" connectionId="0">
    <xmlCellPr id="1" uniqueName="1">
      <xmlPr mapId="43" xpath="/ns1:Root/ns1:Prog/ns1:Target_P4_5" xmlDataType="double"/>
    </xmlCellPr>
  </singleXmlCell>
  <singleXmlCell id="666" r="L130" connectionId="0">
    <xmlCellPr id="1" uniqueName="1">
      <xmlPr mapId="43" xpath="/ns1:Root/ns1:Prog/ns1:Target_P5_5" xmlDataType="double"/>
    </xmlCellPr>
  </singleXmlCell>
  <singleXmlCell id="667" r="M130" connectionId="0">
    <xmlCellPr id="1" uniqueName="1">
      <xmlPr mapId="43" xpath="/ns1:Root/ns1:Prog/ns1:Target_P6_5" xmlDataType="double"/>
    </xmlCellPr>
  </singleXmlCell>
  <singleXmlCell id="668" r="N130" connectionId="0">
    <xmlCellPr id="1" uniqueName="1">
      <xmlPr mapId="43" xpath="/ns1:Root/ns1:Prog/ns1:Target_P7_5" xmlDataType="double"/>
    </xmlCellPr>
  </singleXmlCell>
  <singleXmlCell id="670" r="P130" connectionId="0">
    <xmlCellPr id="1" uniqueName="1">
      <xmlPr mapId="43" xpath="/ns1:Root/ns1:Prog/ns1:Target_P9_5" xmlDataType="double"/>
    </xmlCellPr>
  </singleXmlCell>
  <singleXmlCell id="671" r="Q130" connectionId="0">
    <xmlCellPr id="1" uniqueName="1">
      <xmlPr mapId="43" xpath="/ns1:Root/ns1:Prog/ns1:Target_P10_5" xmlDataType="double"/>
    </xmlCellPr>
  </singleXmlCell>
  <singleXmlCell id="672" r="R130" connectionId="0">
    <xmlCellPr id="1" uniqueName="1">
      <xmlPr mapId="43" xpath="/ns1:Root/ns1:Prog/ns1:Target_P11_5" xmlDataType="double"/>
    </xmlCellPr>
  </singleXmlCell>
  <singleXmlCell id="673" r="S130" connectionId="0">
    <xmlCellPr id="1" uniqueName="1">
      <xmlPr mapId="43" xpath="/ns1:Root/ns1:Prog/ns1:Target_P12_5" xmlDataType="double"/>
    </xmlCellPr>
  </singleXmlCell>
  <singleXmlCell id="674" r="H131" connectionId="0">
    <xmlCellPr id="1" uniqueName="1">
      <xmlPr mapId="43" xpath="/ns1:Root/ns1:Prog/ns1:Achieved__P1_5" xmlDataType="double"/>
    </xmlCellPr>
  </singleXmlCell>
  <singleXmlCell id="675" r="I131" connectionId="0">
    <xmlCellPr id="1" uniqueName="1">
      <xmlPr mapId="43" xpath="/ns1:Root/ns1:Prog/ns1:Achieved__P2_5" xmlDataType="double"/>
    </xmlCellPr>
  </singleXmlCell>
  <singleXmlCell id="676" r="J131" connectionId="0">
    <xmlCellPr id="1" uniqueName="1">
      <xmlPr mapId="43" xpath="/ns1:Root/ns1:Prog/ns1:Achieved__P3_5" xmlDataType="double"/>
    </xmlCellPr>
  </singleXmlCell>
  <singleXmlCell id="677" r="K131" connectionId="0">
    <xmlCellPr id="1" uniqueName="1">
      <xmlPr mapId="43" xpath="/ns1:Root/ns1:Prog/ns1:Achieved__P4_5" xmlDataType="double"/>
    </xmlCellPr>
  </singleXmlCell>
  <singleXmlCell id="678" r="L131" connectionId="0">
    <xmlCellPr id="1" uniqueName="1">
      <xmlPr mapId="43" xpath="/ns1:Root/ns1:Prog/ns1:Achieved__P5_5" xmlDataType="string"/>
    </xmlCellPr>
  </singleXmlCell>
  <singleXmlCell id="679" r="M131" connectionId="0">
    <xmlCellPr id="1" uniqueName="1">
      <xmlPr mapId="43" xpath="/ns1:Root/ns1:Prog/ns1:Achieved__P6_5" xmlDataType="string"/>
    </xmlCellPr>
  </singleXmlCell>
  <singleXmlCell id="680" r="N131" connectionId="0">
    <xmlCellPr id="1" uniqueName="1">
      <xmlPr mapId="43" xpath="/ns1:Root/ns1:Prog/ns1:Achieved__P7_5" xmlDataType="string"/>
    </xmlCellPr>
  </singleXmlCell>
  <singleXmlCell id="682" r="P131" connectionId="0">
    <xmlCellPr id="1" uniqueName="1">
      <xmlPr mapId="43" xpath="/ns1:Root/ns1:Prog/ns1:Achieved__P9_5" xmlDataType="string"/>
    </xmlCellPr>
  </singleXmlCell>
  <singleXmlCell id="683" r="Q131" connectionId="0">
    <xmlCellPr id="1" uniqueName="1">
      <xmlPr mapId="43" xpath="/ns1:Root/ns1:Prog/ns1:Achieved__P10_5" xmlDataType="string"/>
    </xmlCellPr>
  </singleXmlCell>
  <singleXmlCell id="684" r="R131" connectionId="0">
    <xmlCellPr id="1" uniqueName="1">
      <xmlPr mapId="43" xpath="/ns1:Root/ns1:Prog/ns1:Achieved__P11_5" xmlDataType="string"/>
    </xmlCellPr>
  </singleXmlCell>
  <singleXmlCell id="685" r="S131" connectionId="0">
    <xmlCellPr id="1" uniqueName="1">
      <xmlPr mapId="43" xpath="/ns1:Root/ns1:Prog/ns1:Achieved__P12_5" xmlDataType="string"/>
    </xmlCellPr>
  </singleXmlCell>
  <singleXmlCell id="686" r="H132" connectionId="0">
    <xmlCellPr id="1" uniqueName="1">
      <xmlPr mapId="43" xpath="/ns1:Root/ns1:Prog/ns1:Target_P1_6" xmlDataType="double"/>
    </xmlCellPr>
  </singleXmlCell>
  <singleXmlCell id="687" r="I132" connectionId="0">
    <xmlCellPr id="1" uniqueName="1">
      <xmlPr mapId="43" xpath="/ns1:Root/ns1:Prog/ns1:Target_P2_6" xmlDataType="double"/>
    </xmlCellPr>
  </singleXmlCell>
  <singleXmlCell id="688" r="J132" connectionId="0">
    <xmlCellPr id="1" uniqueName="1">
      <xmlPr mapId="43" xpath="/ns1:Root/ns1:Prog/ns1:Target_P3_6" xmlDataType="double"/>
    </xmlCellPr>
  </singleXmlCell>
  <singleXmlCell id="689" r="K132" connectionId="0">
    <xmlCellPr id="1" uniqueName="1">
      <xmlPr mapId="43" xpath="/ns1:Root/ns1:Prog/ns1:Target_P4_6" xmlDataType="double"/>
    </xmlCellPr>
  </singleXmlCell>
  <singleXmlCell id="690" r="L132" connectionId="0">
    <xmlCellPr id="1" uniqueName="1">
      <xmlPr mapId="43" xpath="/ns1:Root/ns1:Prog/ns1:Target_P5_6" xmlDataType="double"/>
    </xmlCellPr>
  </singleXmlCell>
  <singleXmlCell id="691" r="M132" connectionId="0">
    <xmlCellPr id="1" uniqueName="1">
      <xmlPr mapId="43" xpath="/ns1:Root/ns1:Prog/ns1:Target_P6_6" xmlDataType="double"/>
    </xmlCellPr>
  </singleXmlCell>
  <singleXmlCell id="692" r="N132" connectionId="0">
    <xmlCellPr id="1" uniqueName="1">
      <xmlPr mapId="43" xpath="/ns1:Root/ns1:Prog/ns1:Target_P7_6" xmlDataType="double"/>
    </xmlCellPr>
  </singleXmlCell>
  <singleXmlCell id="694" r="P132" connectionId="0">
    <xmlCellPr id="1" uniqueName="1">
      <xmlPr mapId="43" xpath="/ns1:Root/ns1:Prog/ns1:Target_P9_6" xmlDataType="double"/>
    </xmlCellPr>
  </singleXmlCell>
  <singleXmlCell id="695" r="Q132" connectionId="0">
    <xmlCellPr id="1" uniqueName="1">
      <xmlPr mapId="43" xpath="/ns1:Root/ns1:Prog/ns1:Target_P10_6" xmlDataType="double"/>
    </xmlCellPr>
  </singleXmlCell>
  <singleXmlCell id="696" r="R132" connectionId="0">
    <xmlCellPr id="1" uniqueName="1">
      <xmlPr mapId="43" xpath="/ns1:Root/ns1:Prog/ns1:Target_P11_6" xmlDataType="double"/>
    </xmlCellPr>
  </singleXmlCell>
  <singleXmlCell id="697" r="S132" connectionId="0">
    <xmlCellPr id="1" uniqueName="1">
      <xmlPr mapId="43" xpath="/ns1:Root/ns1:Prog/ns1:Target_P12_6" xmlDataType="double"/>
    </xmlCellPr>
  </singleXmlCell>
  <singleXmlCell id="698" r="H133" connectionId="0">
    <xmlCellPr id="1" uniqueName="1">
      <xmlPr mapId="43" xpath="/ns1:Root/ns1:Prog/ns1:Achieved__P1_6" xmlDataType="double"/>
    </xmlCellPr>
  </singleXmlCell>
  <singleXmlCell id="699" r="I133" connectionId="0">
    <xmlCellPr id="1" uniqueName="1">
      <xmlPr mapId="43" xpath="/ns1:Root/ns1:Prog/ns1:Achieved__P2_6" xmlDataType="double"/>
    </xmlCellPr>
  </singleXmlCell>
  <singleXmlCell id="700" r="J133" connectionId="0">
    <xmlCellPr id="1" uniqueName="1">
      <xmlPr mapId="43" xpath="/ns1:Root/ns1:Prog/ns1:Achieved__P3_6" xmlDataType="double"/>
    </xmlCellPr>
  </singleXmlCell>
  <singleXmlCell id="701" r="K133" connectionId="0">
    <xmlCellPr id="1" uniqueName="1">
      <xmlPr mapId="43" xpath="/ns1:Root/ns1:Prog/ns1:Achieved__P4_6" xmlDataType="double"/>
    </xmlCellPr>
  </singleXmlCell>
  <singleXmlCell id="702" r="L133" connectionId="0">
    <xmlCellPr id="1" uniqueName="1">
      <xmlPr mapId="43" xpath="/ns1:Root/ns1:Prog/ns1:Achieved__P5_6" xmlDataType="string"/>
    </xmlCellPr>
  </singleXmlCell>
  <singleXmlCell id="703" r="M133" connectionId="0">
    <xmlCellPr id="1" uniqueName="1">
      <xmlPr mapId="43" xpath="/ns1:Root/ns1:Prog/ns1:Achieved__P6_6" xmlDataType="string"/>
    </xmlCellPr>
  </singleXmlCell>
  <singleXmlCell id="704" r="N133" connectionId="0">
    <xmlCellPr id="1" uniqueName="1">
      <xmlPr mapId="43" xpath="/ns1:Root/ns1:Prog/ns1:Achieved__P7_6" xmlDataType="string"/>
    </xmlCellPr>
  </singleXmlCell>
  <singleXmlCell id="706" r="P133" connectionId="0">
    <xmlCellPr id="1" uniqueName="1">
      <xmlPr mapId="43" xpath="/ns1:Root/ns1:Prog/ns1:Achieved__P9_6" xmlDataType="string"/>
    </xmlCellPr>
  </singleXmlCell>
  <singleXmlCell id="707" r="Q133" connectionId="0">
    <xmlCellPr id="1" uniqueName="1">
      <xmlPr mapId="43" xpath="/ns1:Root/ns1:Prog/ns1:Achieved__P10_6" xmlDataType="string"/>
    </xmlCellPr>
  </singleXmlCell>
  <singleXmlCell id="708" r="R133" connectionId="0">
    <xmlCellPr id="1" uniqueName="1">
      <xmlPr mapId="43" xpath="/ns1:Root/ns1:Prog/ns1:Achieved__P11_6" xmlDataType="string"/>
    </xmlCellPr>
  </singleXmlCell>
  <singleXmlCell id="709" r="S133" connectionId="0">
    <xmlCellPr id="1" uniqueName="1">
      <xmlPr mapId="43" xpath="/ns1:Root/ns1:Prog/ns1:Achieved__P12_6" xmlDataType="string"/>
    </xmlCellPr>
  </singleXmlCell>
  <singleXmlCell id="710" r="H134" connectionId="0">
    <xmlCellPr id="1" uniqueName="1">
      <xmlPr mapId="43" xpath="/ns1:Root/ns1:Prog/ns1:Target_P1_7" xmlDataType="double"/>
    </xmlCellPr>
  </singleXmlCell>
  <singleXmlCell id="711" r="I134" connectionId="0">
    <xmlCellPr id="1" uniqueName="1">
      <xmlPr mapId="43" xpath="/ns1:Root/ns1:Prog/ns1:Target_P2_7" xmlDataType="double"/>
    </xmlCellPr>
  </singleXmlCell>
  <singleXmlCell id="712" r="J134" connectionId="0">
    <xmlCellPr id="1" uniqueName="1">
      <xmlPr mapId="43" xpath="/ns1:Root/ns1:Prog/ns1:Target_P3_7" xmlDataType="double"/>
    </xmlCellPr>
  </singleXmlCell>
  <singleXmlCell id="713" r="K134" connectionId="0">
    <xmlCellPr id="1" uniqueName="1">
      <xmlPr mapId="43" xpath="/ns1:Root/ns1:Prog/ns1:Target_P4_7" xmlDataType="double"/>
    </xmlCellPr>
  </singleXmlCell>
  <singleXmlCell id="714" r="L134" connectionId="0">
    <xmlCellPr id="1" uniqueName="1">
      <xmlPr mapId="43" xpath="/ns1:Root/ns1:Prog/ns1:Target_P5_7" xmlDataType="double"/>
    </xmlCellPr>
  </singleXmlCell>
  <singleXmlCell id="715" r="M134" connectionId="0">
    <xmlCellPr id="1" uniqueName="1">
      <xmlPr mapId="43" xpath="/ns1:Root/ns1:Prog/ns1:Target_P6_7" xmlDataType="double"/>
    </xmlCellPr>
  </singleXmlCell>
  <singleXmlCell id="716" r="N134" connectionId="0">
    <xmlCellPr id="1" uniqueName="1">
      <xmlPr mapId="43" xpath="/ns1:Root/ns1:Prog/ns1:Target_P7_7" xmlDataType="double"/>
    </xmlCellPr>
  </singleXmlCell>
  <singleXmlCell id="717" r="O134" connectionId="0">
    <xmlCellPr id="1" uniqueName="1">
      <xmlPr mapId="43" xpath="/ns1:Root/ns1:Prog/ns1:Target_P8_7" xmlDataType="double"/>
    </xmlCellPr>
  </singleXmlCell>
  <singleXmlCell id="718" r="P134" connectionId="0">
    <xmlCellPr id="1" uniqueName="1">
      <xmlPr mapId="43" xpath="/ns1:Root/ns1:Prog/ns1:Target_P9_7" xmlDataType="double"/>
    </xmlCellPr>
  </singleXmlCell>
  <singleXmlCell id="719" r="Q134" connectionId="0">
    <xmlCellPr id="1" uniqueName="1">
      <xmlPr mapId="43" xpath="/ns1:Root/ns1:Prog/ns1:Target_P10_7" xmlDataType="double"/>
    </xmlCellPr>
  </singleXmlCell>
  <singleXmlCell id="720" r="R134" connectionId="0">
    <xmlCellPr id="1" uniqueName="1">
      <xmlPr mapId="43" xpath="/ns1:Root/ns1:Prog/ns1:Target_P11_7" xmlDataType="double"/>
    </xmlCellPr>
  </singleXmlCell>
  <singleXmlCell id="721" r="S134" connectionId="0">
    <xmlCellPr id="1" uniqueName="1">
      <xmlPr mapId="43" xpath="/ns1:Root/ns1:Prog/ns1:Target_P12_7" xmlDataType="double"/>
    </xmlCellPr>
  </singleXmlCell>
  <singleXmlCell id="722" r="H135" connectionId="0">
    <xmlCellPr id="1" uniqueName="1">
      <xmlPr mapId="43" xpath="/ns1:Root/ns1:Prog/ns1:Achieved__P1_7" xmlDataType="double"/>
    </xmlCellPr>
  </singleXmlCell>
  <singleXmlCell id="723" r="I135" connectionId="0">
    <xmlCellPr id="1" uniqueName="1">
      <xmlPr mapId="43" xpath="/ns1:Root/ns1:Prog/ns1:Achieved__P2_7" xmlDataType="double"/>
    </xmlCellPr>
  </singleXmlCell>
  <singleXmlCell id="724" r="J135" connectionId="0">
    <xmlCellPr id="1" uniqueName="1">
      <xmlPr mapId="43" xpath="/ns1:Root/ns1:Prog/ns1:Achieved__P3_7" xmlDataType="double"/>
    </xmlCellPr>
  </singleXmlCell>
  <singleXmlCell id="725" r="K135" connectionId="0">
    <xmlCellPr id="1" uniqueName="1">
      <xmlPr mapId="43" xpath="/ns1:Root/ns1:Prog/ns1:Achieved__P4_7" xmlDataType="double"/>
    </xmlCellPr>
  </singleXmlCell>
  <singleXmlCell id="726" r="L135" connectionId="0">
    <xmlCellPr id="1" uniqueName="1">
      <xmlPr mapId="43" xpath="/ns1:Root/ns1:Prog/ns1:Achieved__P5_7" xmlDataType="string"/>
    </xmlCellPr>
  </singleXmlCell>
  <singleXmlCell id="727" r="M135" connectionId="0">
    <xmlCellPr id="1" uniqueName="1">
      <xmlPr mapId="43" xpath="/ns1:Root/ns1:Prog/ns1:Achieved__P6_7" xmlDataType="string"/>
    </xmlCellPr>
  </singleXmlCell>
  <singleXmlCell id="728" r="N135" connectionId="0">
    <xmlCellPr id="1" uniqueName="1">
      <xmlPr mapId="43" xpath="/ns1:Root/ns1:Prog/ns1:Achieved__P7_7" xmlDataType="string"/>
    </xmlCellPr>
  </singleXmlCell>
  <singleXmlCell id="729" r="O135" connectionId="0">
    <xmlCellPr id="1" uniqueName="1">
      <xmlPr mapId="43" xpath="/ns1:Root/ns1:Prog/ns1:Achieved__P8_7" xmlDataType="string"/>
    </xmlCellPr>
  </singleXmlCell>
  <singleXmlCell id="730" r="P135" connectionId="0">
    <xmlCellPr id="1" uniqueName="1">
      <xmlPr mapId="43" xpath="/ns1:Root/ns1:Prog/ns1:Achieved__P9_7" xmlDataType="string"/>
    </xmlCellPr>
  </singleXmlCell>
  <singleXmlCell id="731" r="Q135" connectionId="0">
    <xmlCellPr id="1" uniqueName="1">
      <xmlPr mapId="43" xpath="/ns1:Root/ns1:Prog/ns1:Achieved__P10_7" xmlDataType="string"/>
    </xmlCellPr>
  </singleXmlCell>
  <singleXmlCell id="732" r="R135" connectionId="0">
    <xmlCellPr id="1" uniqueName="1">
      <xmlPr mapId="43" xpath="/ns1:Root/ns1:Prog/ns1:Achieved__P11_7" xmlDataType="string"/>
    </xmlCellPr>
  </singleXmlCell>
  <singleXmlCell id="733" r="S135" connectionId="0">
    <xmlCellPr id="1" uniqueName="1">
      <xmlPr mapId="43" xpath="/ns1:Root/ns1:Prog/ns1:Achieved__P12_7" xmlDataType="string"/>
    </xmlCellPr>
  </singleXmlCell>
  <singleXmlCell id="734" r="H136" connectionId="0">
    <xmlCellPr id="1" uniqueName="1">
      <xmlPr mapId="43" xpath="/ns1:Root/ns1:Prog/ns1:Target_P1_8" xmlDataType="string"/>
    </xmlCellPr>
  </singleXmlCell>
  <singleXmlCell id="735" r="I136" connectionId="0">
    <xmlCellPr id="1" uniqueName="1">
      <xmlPr mapId="43" xpath="/ns1:Root/ns1:Prog/ns1:Target_P2_8" xmlDataType="double"/>
    </xmlCellPr>
  </singleXmlCell>
  <singleXmlCell id="736" r="J136" connectionId="0">
    <xmlCellPr id="1" uniqueName="1">
      <xmlPr mapId="43" xpath="/ns1:Root/ns1:Prog/ns1:Target_P3_8" xmlDataType="string"/>
    </xmlCellPr>
  </singleXmlCell>
  <singleXmlCell id="737" r="K136" connectionId="0">
    <xmlCellPr id="1" uniqueName="1">
      <xmlPr mapId="43" xpath="/ns1:Root/ns1:Prog/ns1:Target_P4_8" xmlDataType="double"/>
    </xmlCellPr>
  </singleXmlCell>
  <singleXmlCell id="738" r="L136" connectionId="0">
    <xmlCellPr id="1" uniqueName="1">
      <xmlPr mapId="43" xpath="/ns1:Root/ns1:Prog/ns1:Target_P5_8" xmlDataType="string"/>
    </xmlCellPr>
  </singleXmlCell>
  <singleXmlCell id="739" r="M136" connectionId="0">
    <xmlCellPr id="1" uniqueName="1">
      <xmlPr mapId="43" xpath="/ns1:Root/ns1:Prog/ns1:Target_P6_8" xmlDataType="double"/>
    </xmlCellPr>
  </singleXmlCell>
  <singleXmlCell id="740" r="N136" connectionId="0">
    <xmlCellPr id="1" uniqueName="1">
      <xmlPr mapId="43" xpath="/ns1:Root/ns1:Prog/ns1:Target_P7_8" xmlDataType="string"/>
    </xmlCellPr>
  </singleXmlCell>
  <singleXmlCell id="741" r="O136" connectionId="0">
    <xmlCellPr id="1" uniqueName="1">
      <xmlPr mapId="43" xpath="/ns1:Root/ns1:Prog/ns1:Target_P8_8" xmlDataType="double"/>
    </xmlCellPr>
  </singleXmlCell>
  <singleXmlCell id="742" r="P136" connectionId="0">
    <xmlCellPr id="1" uniqueName="1">
      <xmlPr mapId="43" xpath="/ns1:Root/ns1:Prog/ns1:Target_P9_8" xmlDataType="double"/>
    </xmlCellPr>
  </singleXmlCell>
  <singleXmlCell id="743" r="Q136" connectionId="0">
    <xmlCellPr id="1" uniqueName="1">
      <xmlPr mapId="43" xpath="/ns1:Root/ns1:Prog/ns1:Target_P10_8" xmlDataType="double"/>
    </xmlCellPr>
  </singleXmlCell>
  <singleXmlCell id="744" r="R136" connectionId="0">
    <xmlCellPr id="1" uniqueName="1">
      <xmlPr mapId="43" xpath="/ns1:Root/ns1:Prog/ns1:Target_P11_8" xmlDataType="double"/>
    </xmlCellPr>
  </singleXmlCell>
  <singleXmlCell id="745" r="S136" connectionId="0">
    <xmlCellPr id="1" uniqueName="1">
      <xmlPr mapId="43" xpath="/ns1:Root/ns1:Prog/ns1:Target_P12_8" xmlDataType="double"/>
    </xmlCellPr>
  </singleXmlCell>
  <singleXmlCell id="746" r="H137" connectionId="0">
    <xmlCellPr id="1" uniqueName="1">
      <xmlPr mapId="43" xpath="/ns1:Root/ns1:Prog/ns1:Achieved__P1_8" xmlDataType="string"/>
    </xmlCellPr>
  </singleXmlCell>
  <singleXmlCell id="747" r="I137" connectionId="0">
    <xmlCellPr id="1" uniqueName="1">
      <xmlPr mapId="43" xpath="/ns1:Root/ns1:Prog/ns1:Achieved__P2_8" xmlDataType="string"/>
    </xmlCellPr>
  </singleXmlCell>
  <singleXmlCell id="748" r="J137" connectionId="0">
    <xmlCellPr id="1" uniqueName="1">
      <xmlPr mapId="43" xpath="/ns1:Root/ns1:Prog/ns1:Achieved__P3_8" xmlDataType="string"/>
    </xmlCellPr>
  </singleXmlCell>
  <singleXmlCell id="749" r="K137" connectionId="0">
    <xmlCellPr id="1" uniqueName="1">
      <xmlPr mapId="43" xpath="/ns1:Root/ns1:Prog/ns1:Achieved__P4_8" xmlDataType="string"/>
    </xmlCellPr>
  </singleXmlCell>
  <singleXmlCell id="750" r="L137" connectionId="0">
    <xmlCellPr id="1" uniqueName="1">
      <xmlPr mapId="43" xpath="/ns1:Root/ns1:Prog/ns1:Achieved__P5_8" xmlDataType="string"/>
    </xmlCellPr>
  </singleXmlCell>
  <singleXmlCell id="751" r="M137" connectionId="0">
    <xmlCellPr id="1" uniqueName="1">
      <xmlPr mapId="43" xpath="/ns1:Root/ns1:Prog/ns1:Achieved__P6_8" xmlDataType="string"/>
    </xmlCellPr>
  </singleXmlCell>
  <singleXmlCell id="752" r="N137" connectionId="0">
    <xmlCellPr id="1" uniqueName="1">
      <xmlPr mapId="43" xpath="/ns1:Root/ns1:Prog/ns1:Achieved__P7_8" xmlDataType="string"/>
    </xmlCellPr>
  </singleXmlCell>
  <singleXmlCell id="753" r="O137" connectionId="0">
    <xmlCellPr id="1" uniqueName="1">
      <xmlPr mapId="43" xpath="/ns1:Root/ns1:Prog/ns1:Achieved__P8_8" xmlDataType="string"/>
    </xmlCellPr>
  </singleXmlCell>
  <singleXmlCell id="754" r="P137" connectionId="0">
    <xmlCellPr id="1" uniqueName="1">
      <xmlPr mapId="43" xpath="/ns1:Root/ns1:Prog/ns1:Achieved__P9_8" xmlDataType="string"/>
    </xmlCellPr>
  </singleXmlCell>
  <singleXmlCell id="755" r="Q137" connectionId="0">
    <xmlCellPr id="1" uniqueName="1">
      <xmlPr mapId="43" xpath="/ns1:Root/ns1:Prog/ns1:Achieved__P10_8" xmlDataType="string"/>
    </xmlCellPr>
  </singleXmlCell>
  <singleXmlCell id="756" r="R137" connectionId="0">
    <xmlCellPr id="1" uniqueName="1">
      <xmlPr mapId="43" xpath="/ns1:Root/ns1:Prog/ns1:Achieved__P11_8" xmlDataType="string"/>
    </xmlCellPr>
  </singleXmlCell>
  <singleXmlCell id="757" r="S137" connectionId="0">
    <xmlCellPr id="1" uniqueName="1">
      <xmlPr mapId="43" xpath="/ns1:Root/ns1:Prog/ns1:Achieved__P12_8" xmlDataType="string"/>
    </xmlCellPr>
  </singleXmlCell>
  <singleXmlCell id="758" r="H138" connectionId="0">
    <xmlCellPr id="1" uniqueName="1">
      <xmlPr mapId="43" xpath="/ns1:Root/ns1:Prog/ns1:Target_P1_9" xmlDataType="double"/>
    </xmlCellPr>
  </singleXmlCell>
  <singleXmlCell id="759" r="I138" connectionId="0">
    <xmlCellPr id="1" uniqueName="1">
      <xmlPr mapId="43" xpath="/ns1:Root/ns1:Prog/ns1:Target_P2_9" xmlDataType="double"/>
    </xmlCellPr>
  </singleXmlCell>
  <singleXmlCell id="760" r="J138" connectionId="0">
    <xmlCellPr id="1" uniqueName="1">
      <xmlPr mapId="43" xpath="/ns1:Root/ns1:Prog/ns1:Target_P3_9" xmlDataType="double"/>
    </xmlCellPr>
  </singleXmlCell>
  <singleXmlCell id="761" r="K138" connectionId="0">
    <xmlCellPr id="1" uniqueName="1">
      <xmlPr mapId="43" xpath="/ns1:Root/ns1:Prog/ns1:Target_P4_9" xmlDataType="double"/>
    </xmlCellPr>
  </singleXmlCell>
  <singleXmlCell id="762" r="L138" connectionId="0">
    <xmlCellPr id="1" uniqueName="1">
      <xmlPr mapId="43" xpath="/ns1:Root/ns1:Prog/ns1:Target_P5_9" xmlDataType="double"/>
    </xmlCellPr>
  </singleXmlCell>
  <singleXmlCell id="763" r="M138" connectionId="0">
    <xmlCellPr id="1" uniqueName="1">
      <xmlPr mapId="43" xpath="/ns1:Root/ns1:Prog/ns1:Target_P6_9" xmlDataType="double"/>
    </xmlCellPr>
  </singleXmlCell>
  <singleXmlCell id="764" r="N138" connectionId="0">
    <xmlCellPr id="1" uniqueName="1">
      <xmlPr mapId="43" xpath="/ns1:Root/ns1:Prog/ns1:Target_P7_9" xmlDataType="double"/>
    </xmlCellPr>
  </singleXmlCell>
  <singleXmlCell id="765" r="O138" connectionId="0">
    <xmlCellPr id="1" uniqueName="1">
      <xmlPr mapId="43" xpath="/ns1:Root/ns1:Prog/ns1:Target_P8_9" xmlDataType="double"/>
    </xmlCellPr>
  </singleXmlCell>
  <singleXmlCell id="766" r="P138" connectionId="0">
    <xmlCellPr id="1" uniqueName="1">
      <xmlPr mapId="43" xpath="/ns1:Root/ns1:Prog/ns1:Target_P9_9" xmlDataType="double"/>
    </xmlCellPr>
  </singleXmlCell>
  <singleXmlCell id="767" r="Q138" connectionId="0">
    <xmlCellPr id="1" uniqueName="1">
      <xmlPr mapId="43" xpath="/ns1:Root/ns1:Prog/ns1:Target_P10_9" xmlDataType="double"/>
    </xmlCellPr>
  </singleXmlCell>
  <singleXmlCell id="768" r="R138" connectionId="0">
    <xmlCellPr id="1" uniqueName="1">
      <xmlPr mapId="43" xpath="/ns1:Root/ns1:Prog/ns1:Target_P11_9" xmlDataType="double"/>
    </xmlCellPr>
  </singleXmlCell>
  <singleXmlCell id="769" r="S138" connectionId="0">
    <xmlCellPr id="1" uniqueName="1">
      <xmlPr mapId="43" xpath="/ns1:Root/ns1:Prog/ns1:Target_P12_9" xmlDataType="double"/>
    </xmlCellPr>
  </singleXmlCell>
  <singleXmlCell id="770" r="H139" connectionId="0">
    <xmlCellPr id="1" uniqueName="1">
      <xmlPr mapId="43" xpath="/ns1:Root/ns1:Prog/ns1:Achieved__P1_9" xmlDataType="string"/>
    </xmlCellPr>
  </singleXmlCell>
  <singleXmlCell id="771" r="I139" connectionId="0">
    <xmlCellPr id="1" uniqueName="1">
      <xmlPr mapId="43" xpath="/ns1:Root/ns1:Prog/ns1:Achieved__P2_9" xmlDataType="double"/>
    </xmlCellPr>
  </singleXmlCell>
  <singleXmlCell id="772" r="J139" connectionId="0">
    <xmlCellPr id="1" uniqueName="1">
      <xmlPr mapId="43" xpath="/ns1:Root/ns1:Prog/ns1:Achieved__P3_9" xmlDataType="string"/>
    </xmlCellPr>
  </singleXmlCell>
  <singleXmlCell id="773" r="K139" connectionId="0">
    <xmlCellPr id="1" uniqueName="1">
      <xmlPr mapId="43" xpath="/ns1:Root/ns1:Prog/ns1:Achieved__P4_9" xmlDataType="double"/>
    </xmlCellPr>
  </singleXmlCell>
  <singleXmlCell id="774" r="L139" connectionId="0">
    <xmlCellPr id="1" uniqueName="1">
      <xmlPr mapId="43" xpath="/ns1:Root/ns1:Prog/ns1:Achieved__P5_9" xmlDataType="string"/>
    </xmlCellPr>
  </singleXmlCell>
  <singleXmlCell id="775" r="M139" connectionId="0">
    <xmlCellPr id="1" uniqueName="1">
      <xmlPr mapId="43" xpath="/ns1:Root/ns1:Prog/ns1:Achieved__P6_9" xmlDataType="string"/>
    </xmlCellPr>
  </singleXmlCell>
  <singleXmlCell id="776" r="N139" connectionId="0">
    <xmlCellPr id="1" uniqueName="1">
      <xmlPr mapId="43" xpath="/ns1:Root/ns1:Prog/ns1:Achieved__P7_9" xmlDataType="string"/>
    </xmlCellPr>
  </singleXmlCell>
  <singleXmlCell id="777" r="O139" connectionId="0">
    <xmlCellPr id="1" uniqueName="1">
      <xmlPr mapId="43" xpath="/ns1:Root/ns1:Prog/ns1:Achieved__P8_9" xmlDataType="string"/>
    </xmlCellPr>
  </singleXmlCell>
  <singleXmlCell id="778" r="P139" connectionId="0">
    <xmlCellPr id="1" uniqueName="1">
      <xmlPr mapId="43" xpath="/ns1:Root/ns1:Prog/ns1:Achieved__P9_9" xmlDataType="string"/>
    </xmlCellPr>
  </singleXmlCell>
  <singleXmlCell id="779" r="Q139" connectionId="0">
    <xmlCellPr id="1" uniqueName="1">
      <xmlPr mapId="43" xpath="/ns1:Root/ns1:Prog/ns1:Achieved__P10_9" xmlDataType="string"/>
    </xmlCellPr>
  </singleXmlCell>
  <singleXmlCell id="780" r="R139" connectionId="0">
    <xmlCellPr id="1" uniqueName="1">
      <xmlPr mapId="43" xpath="/ns1:Root/ns1:Prog/ns1:Achieved__P11_9" xmlDataType="string"/>
    </xmlCellPr>
  </singleXmlCell>
  <singleXmlCell id="781" r="S139" connectionId="0">
    <xmlCellPr id="1" uniqueName="1">
      <xmlPr mapId="43" xpath="/ns1:Root/ns1:Prog/ns1:Achieved__P12_9" xmlDataType="string"/>
    </xmlCellPr>
  </singleXmlCell>
  <singleXmlCell id="782" r="H140" connectionId="0">
    <xmlCellPr id="1" uniqueName="1">
      <xmlPr mapId="43" xpath="/ns1:Root/ns1:Prog/ns1:Target_P1" xmlDataType="string"/>
    </xmlCellPr>
  </singleXmlCell>
  <singleXmlCell id="783" r="I140" connectionId="0">
    <xmlCellPr id="1" uniqueName="1">
      <xmlPr mapId="43" xpath="/ns1:Root/ns1:Prog/ns1:Target_P2" xmlDataType="string"/>
    </xmlCellPr>
  </singleXmlCell>
  <singleXmlCell id="784" r="J140" connectionId="0">
    <xmlCellPr id="1" uniqueName="1">
      <xmlPr mapId="43" xpath="/ns1:Root/ns1:Prog/ns1:Target_P3" xmlDataType="string"/>
    </xmlCellPr>
  </singleXmlCell>
  <singleXmlCell id="785" r="K140" connectionId="0">
    <xmlCellPr id="1" uniqueName="1">
      <xmlPr mapId="43" xpath="/ns1:Root/ns1:Prog/ns1:Target_P4" xmlDataType="double"/>
    </xmlCellPr>
  </singleXmlCell>
  <singleXmlCell id="786" r="L140" connectionId="0">
    <xmlCellPr id="1" uniqueName="1">
      <xmlPr mapId="43" xpath="/ns1:Root/ns1:Prog/ns1:Target_P5" xmlDataType="string"/>
    </xmlCellPr>
  </singleXmlCell>
  <singleXmlCell id="787" r="M140" connectionId="0">
    <xmlCellPr id="1" uniqueName="1">
      <xmlPr mapId="43" xpath="/ns1:Root/ns1:Prog/ns1:Target_P6" xmlDataType="string"/>
    </xmlCellPr>
  </singleXmlCell>
  <singleXmlCell id="788" r="N140" connectionId="0">
    <xmlCellPr id="1" uniqueName="1">
      <xmlPr mapId="43" xpath="/ns1:Root/ns1:Prog/ns1:Target_P7" xmlDataType="string"/>
    </xmlCellPr>
  </singleXmlCell>
  <singleXmlCell id="789" r="O140" connectionId="0">
    <xmlCellPr id="1" uniqueName="1">
      <xmlPr mapId="43" xpath="/ns1:Root/ns1:Prog/ns1:Target_P8" xmlDataType="string"/>
    </xmlCellPr>
  </singleXmlCell>
  <singleXmlCell id="790" r="P140" connectionId="0">
    <xmlCellPr id="1" uniqueName="1">
      <xmlPr mapId="43" xpath="/ns1:Root/ns1:Prog/ns1:Target_P9" xmlDataType="string"/>
    </xmlCellPr>
  </singleXmlCell>
  <singleXmlCell id="791" r="Q140" connectionId="0">
    <xmlCellPr id="1" uniqueName="1">
      <xmlPr mapId="43" xpath="/ns1:Root/ns1:Prog/ns1:Target_P10" xmlDataType="string"/>
    </xmlCellPr>
  </singleXmlCell>
  <singleXmlCell id="792" r="R140" connectionId="0">
    <xmlCellPr id="1" uniqueName="1">
      <xmlPr mapId="43" xpath="/ns1:Root/ns1:Prog/ns1:Target_P11" xmlDataType="string"/>
    </xmlCellPr>
  </singleXmlCell>
  <singleXmlCell id="793" r="S140" connectionId="0">
    <xmlCellPr id="1" uniqueName="1">
      <xmlPr mapId="43" xpath="/ns1:Root/ns1:Prog/ns1:Target_P12" xmlDataType="string"/>
    </xmlCellPr>
  </singleXmlCell>
  <singleXmlCell id="794" r="H141" connectionId="0">
    <xmlCellPr id="1" uniqueName="1">
      <xmlPr mapId="43" xpath="/ns1:Root/ns1:Prog/ns1:Achieved__P1" xmlDataType="string"/>
    </xmlCellPr>
  </singleXmlCell>
  <singleXmlCell id="795" r="I141" connectionId="0">
    <xmlCellPr id="1" uniqueName="1">
      <xmlPr mapId="43" xpath="/ns1:Root/ns1:Prog/ns1:Achieved__P2" xmlDataType="string"/>
    </xmlCellPr>
  </singleXmlCell>
  <singleXmlCell id="796" r="J141" connectionId="0">
    <xmlCellPr id="1" uniqueName="1">
      <xmlPr mapId="43" xpath="/ns1:Root/ns1:Prog/ns1:Achieved__P3" xmlDataType="string"/>
    </xmlCellPr>
  </singleXmlCell>
  <singleXmlCell id="797" r="K141" connectionId="0">
    <xmlCellPr id="1" uniqueName="1">
      <xmlPr mapId="43" xpath="/ns1:Root/ns1:Prog/ns1:Achieved__P4" xmlDataType="string"/>
    </xmlCellPr>
  </singleXmlCell>
  <singleXmlCell id="798" r="L141" connectionId="0">
    <xmlCellPr id="1" uniqueName="1">
      <xmlPr mapId="43" xpath="/ns1:Root/ns1:Prog/ns1:Achieved__P5" xmlDataType="string"/>
    </xmlCellPr>
  </singleXmlCell>
  <singleXmlCell id="799" r="M141" connectionId="0">
    <xmlCellPr id="1" uniqueName="1">
      <xmlPr mapId="43" xpath="/ns1:Root/ns1:Prog/ns1:Achieved__P6" xmlDataType="string"/>
    </xmlCellPr>
  </singleXmlCell>
  <singleXmlCell id="800" r="N141" connectionId="0">
    <xmlCellPr id="1" uniqueName="1">
      <xmlPr mapId="43" xpath="/ns1:Root/ns1:Prog/ns1:Achieved__P7" xmlDataType="string"/>
    </xmlCellPr>
  </singleXmlCell>
  <singleXmlCell id="801" r="O141" connectionId="0">
    <xmlCellPr id="1" uniqueName="1">
      <xmlPr mapId="43" xpath="/ns1:Root/ns1:Prog/ns1:Achieved__P8" xmlDataType="string"/>
    </xmlCellPr>
  </singleXmlCell>
  <singleXmlCell id="802" r="P141" connectionId="0">
    <xmlCellPr id="1" uniqueName="1">
      <xmlPr mapId="43" xpath="/ns1:Root/ns1:Prog/ns1:Achieved__P9" xmlDataType="string"/>
    </xmlCellPr>
  </singleXmlCell>
  <singleXmlCell id="803" r="Q141" connectionId="0">
    <xmlCellPr id="1" uniqueName="1">
      <xmlPr mapId="43" xpath="/ns1:Root/ns1:Prog/ns1:Achieved__P10" xmlDataType="string"/>
    </xmlCellPr>
  </singleXmlCell>
  <singleXmlCell id="804" r="R141" connectionId="0">
    <xmlCellPr id="1" uniqueName="1">
      <xmlPr mapId="43" xpath="/ns1:Root/ns1:Prog/ns1:Achieved__P11" xmlDataType="string"/>
    </xmlCellPr>
  </singleXmlCell>
  <singleXmlCell id="805" r="S141" connectionId="0">
    <xmlCellPr id="1" uniqueName="1">
      <xmlPr mapId="43" xpath="/ns1:Root/ns1:Prog/ns1:Achieved__P12" xmlDataType="string"/>
    </xmlCellPr>
  </singleXmlCell>
  <singleXmlCell id="806" r="K124" connectionId="0">
    <xmlCellPr id="1" uniqueName="1">
      <xmlPr mapId="43" xpath="/ns1:Root/ns1:Prog/ns1:Target_P4_2" xmlDataType="double"/>
    </xmlCellPr>
  </singleXmlCell>
  <singleXmlCell id="807" r="B122" connectionId="0">
    <xmlCellPr id="1" uniqueName="1">
      <xmlPr mapId="43" xpath="/ns1:Root/ns1:P1" xmlDataType="string"/>
    </xmlCellPr>
  </singleXmlCell>
  <singleXmlCell id="808" r="E122" connectionId="0">
    <xmlCellPr id="1" uniqueName="1">
      <xmlPr mapId="43" xpath="/ns1:Root/ns1:P1_Code" xmlDataType="double"/>
    </xmlCellPr>
  </singleXmlCell>
  <singleXmlCell id="809" r="F122" connectionId="0">
    <xmlCellPr id="1" uniqueName="1">
      <xmlPr mapId="43" xpath="/ns1:Root/ns1:P1_Tied" xmlDataType="string"/>
    </xmlCellPr>
  </singleXmlCell>
  <singleXmlCell id="810" r="B124" connectionId="0">
    <xmlCellPr id="1" uniqueName="1">
      <xmlPr mapId="43" xpath="/ns1:Root/ns1:P2" xmlDataType="string"/>
    </xmlCellPr>
  </singleXmlCell>
  <singleXmlCell id="811" r="E124" connectionId="0">
    <xmlCellPr id="1" uniqueName="1">
      <xmlPr mapId="43" xpath="/ns1:Root/ns1:P2_Code" xmlDataType="double"/>
    </xmlCellPr>
  </singleXmlCell>
  <singleXmlCell id="812" r="F124" connectionId="0">
    <xmlCellPr id="1" uniqueName="1">
      <xmlPr mapId="43" xpath="/ns1:Root/ns1:P2_Tied" xmlDataType="string"/>
    </xmlCellPr>
  </singleXmlCell>
  <singleXmlCell id="813" r="B126" connectionId="0">
    <xmlCellPr id="1" uniqueName="1">
      <xmlPr mapId="43" xpath="/ns1:Root/ns1:P3" xmlDataType="string"/>
    </xmlCellPr>
  </singleXmlCell>
  <singleXmlCell id="814" r="E126" connectionId="0">
    <xmlCellPr id="1" uniqueName="1">
      <xmlPr mapId="43" xpath="/ns1:Root/ns1:P3_Code" xmlDataType="double"/>
    </xmlCellPr>
  </singleXmlCell>
  <singleXmlCell id="815" r="F126" connectionId="0">
    <xmlCellPr id="1" uniqueName="1">
      <xmlPr mapId="43" xpath="/ns1:Root/ns1:P3_Tied" xmlDataType="string"/>
    </xmlCellPr>
  </singleXmlCell>
  <singleXmlCell id="816" r="B128" connectionId="0">
    <xmlCellPr id="1" uniqueName="1">
      <xmlPr mapId="43" xpath="/ns1:Root/ns1:P4" xmlDataType="string"/>
    </xmlCellPr>
  </singleXmlCell>
  <singleXmlCell id="817" r="E128" connectionId="0">
    <xmlCellPr id="1" uniqueName="1">
      <xmlPr mapId="43" xpath="/ns1:Root/ns1:P4_Code" xmlDataType="double"/>
    </xmlCellPr>
  </singleXmlCell>
  <singleXmlCell id="818" r="F128" connectionId="0">
    <xmlCellPr id="1" uniqueName="1">
      <xmlPr mapId="43" xpath="/ns1:Root/ns1:P4_Tied" xmlDataType="string"/>
    </xmlCellPr>
  </singleXmlCell>
  <singleXmlCell id="819" r="B130" connectionId="0">
    <xmlCellPr id="1" uniqueName="1">
      <xmlPr mapId="43" xpath="/ns1:Root/ns1:P5" xmlDataType="string"/>
    </xmlCellPr>
  </singleXmlCell>
  <singleXmlCell id="820" r="E130" connectionId="0">
    <xmlCellPr id="1" uniqueName="1">
      <xmlPr mapId="43" xpath="/ns1:Root/ns1:P5_Code" xmlDataType="double"/>
    </xmlCellPr>
  </singleXmlCell>
  <singleXmlCell id="821" r="F130" connectionId="0">
    <xmlCellPr id="1" uniqueName="1">
      <xmlPr mapId="43" xpath="/ns1:Root/ns1:P5_Tied" xmlDataType="string"/>
    </xmlCellPr>
  </singleXmlCell>
  <singleXmlCell id="822" r="B132" connectionId="0">
    <xmlCellPr id="1" uniqueName="1">
      <xmlPr mapId="43" xpath="/ns1:Root/ns1:P6" xmlDataType="string"/>
    </xmlCellPr>
  </singleXmlCell>
  <singleXmlCell id="823" r="E132" connectionId="0">
    <xmlCellPr id="1" uniqueName="1">
      <xmlPr mapId="43" xpath="/ns1:Root/ns1:P6_Code" xmlDataType="double"/>
    </xmlCellPr>
  </singleXmlCell>
  <singleXmlCell id="824" r="F132" connectionId="0">
    <xmlCellPr id="1" uniqueName="1">
      <xmlPr mapId="43" xpath="/ns1:Root/ns1:P6_Tied" xmlDataType="string"/>
    </xmlCellPr>
  </singleXmlCell>
  <singleXmlCell id="825" r="B134" connectionId="0">
    <xmlCellPr id="1" uniqueName="1">
      <xmlPr mapId="43" xpath="/ns1:Root/ns1:P7" xmlDataType="string"/>
    </xmlCellPr>
  </singleXmlCell>
  <singleXmlCell id="826" r="E134" connectionId="0">
    <xmlCellPr id="1" uniqueName="1">
      <xmlPr mapId="43" xpath="/ns1:Root/ns1:P7_Code" xmlDataType="double"/>
    </xmlCellPr>
  </singleXmlCell>
  <singleXmlCell id="827" r="F134" connectionId="0">
    <xmlCellPr id="1" uniqueName="1">
      <xmlPr mapId="43" xpath="/ns1:Root/ns1:P7_Tied" xmlDataType="string"/>
    </xmlCellPr>
  </singleXmlCell>
  <singleXmlCell id="828" r="B136" connectionId="0">
    <xmlCellPr id="1" uniqueName="1">
      <xmlPr mapId="43" xpath="/ns1:Root/ns1:P8" xmlDataType="string"/>
    </xmlCellPr>
  </singleXmlCell>
  <singleXmlCell id="829" r="E136" connectionId="0">
    <xmlCellPr id="1" uniqueName="1">
      <xmlPr mapId="43" xpath="/ns1:Root/ns1:P8_Code" xmlDataType="double"/>
    </xmlCellPr>
  </singleXmlCell>
  <singleXmlCell id="830" r="F136" connectionId="0">
    <xmlCellPr id="1" uniqueName="1">
      <xmlPr mapId="43" xpath="/ns1:Root/ns1:P8_Tied" xmlDataType="string"/>
    </xmlCellPr>
  </singleXmlCell>
  <singleXmlCell id="831" r="B138" connectionId="0">
    <xmlCellPr id="1" uniqueName="1">
      <xmlPr mapId="43" xpath="/ns1:Root/ns1:P9" xmlDataType="string"/>
    </xmlCellPr>
  </singleXmlCell>
  <singleXmlCell id="832" r="E138" connectionId="0">
    <xmlCellPr id="1" uniqueName="1">
      <xmlPr mapId="43" xpath="/ns1:Root/ns1:P9_Code" xmlDataType="double"/>
    </xmlCellPr>
  </singleXmlCell>
  <singleXmlCell id="833" r="F138" connectionId="0">
    <xmlCellPr id="1" uniqueName="1">
      <xmlPr mapId="43" xpath="/ns1:Root/ns1:P9_Tied" xmlDataType="double"/>
    </xmlCellPr>
  </singleXmlCell>
  <singleXmlCell id="834" r="B140" connectionId="0">
    <xmlCellPr id="1" uniqueName="1">
      <xmlPr mapId="43" xpath="/ns1:Root/ns1:P10" xmlDataType="string"/>
    </xmlCellPr>
  </singleXmlCell>
  <singleXmlCell id="835" r="E140" connectionId="0">
    <xmlCellPr id="1" uniqueName="1">
      <xmlPr mapId="43" xpath="/ns1:Root/ns1:P10_Code" xmlDataType="double"/>
    </xmlCellPr>
  </singleXmlCell>
  <singleXmlCell id="836" r="F140" connectionId="0">
    <xmlCellPr id="1" uniqueName="1">
      <xmlPr mapId="43" xpath="/ns1:Root/ns1:P10_Tied" xmlDataType="string"/>
    </xmlCellPr>
  </singleXmlCell>
  <singleXmlCell id="837" r="D26" connectionId="0">
    <xmlCellPr id="1" uniqueName="1">
      <xmlPr mapId="43" xpath="/ns1:Root/ns1:Currency" xmlDataType="string"/>
    </xmlCellPr>
  </singleXmlCell>
  <singleXmlCell id="586" r="O123" connectionId="0">
    <xmlCellPr id="1" uniqueName="1">
      <xmlPr mapId="43" xpath="/ns1:Root/ns1:Prog/ns1:Achieved__P8_1" xmlDataType="string"/>
    </xmlCellPr>
  </singleXmlCell>
  <singleXmlCell id="597" r="O124" connectionId="0">
    <xmlCellPr id="1" uniqueName="1">
      <xmlPr mapId="43" xpath="/ns1:Root/ns1:Prog/ns1:Target_P8_2" xmlDataType="double"/>
    </xmlCellPr>
  </singleXmlCell>
  <singleXmlCell id="609" r="O125" connectionId="0">
    <xmlCellPr id="1" uniqueName="1">
      <xmlPr mapId="43" xpath="/ns1:Root/ns1:Prog/ns1:Achieved__P8_2" xmlDataType="string"/>
    </xmlCellPr>
  </singleXmlCell>
  <singleXmlCell id="621" r="O126" connectionId="0">
    <xmlCellPr id="1" uniqueName="1">
      <xmlPr mapId="43" xpath="/ns1:Root/ns1:Prog/ns1:Target_P8_3" xmlDataType="double"/>
    </xmlCellPr>
  </singleXmlCell>
  <singleXmlCell id="633" r="O127" connectionId="0">
    <xmlCellPr id="1" uniqueName="1">
      <xmlPr mapId="43" xpath="/ns1:Root/ns1:Prog/ns1:Achieved__P8_3" xmlDataType="string"/>
    </xmlCellPr>
  </singleXmlCell>
  <singleXmlCell id="645" r="O128" connectionId="0">
    <xmlCellPr id="1" uniqueName="1">
      <xmlPr mapId="43" xpath="/ns1:Root/ns1:Prog/ns1:Target_P8_4" xmlDataType="double"/>
    </xmlCellPr>
  </singleXmlCell>
  <singleXmlCell id="657" r="O129" connectionId="0">
    <xmlCellPr id="1" uniqueName="1">
      <xmlPr mapId="43" xpath="/ns1:Root/ns1:Prog/ns1:Achieved__P8_4" xmlDataType="string"/>
    </xmlCellPr>
  </singleXmlCell>
  <singleXmlCell id="669" r="O130" connectionId="0">
    <xmlCellPr id="1" uniqueName="1">
      <xmlPr mapId="43" xpath="/ns1:Root/ns1:Prog/ns1:Target_P8_5" xmlDataType="double"/>
    </xmlCellPr>
  </singleXmlCell>
  <singleXmlCell id="681" r="O131" connectionId="0">
    <xmlCellPr id="1" uniqueName="1">
      <xmlPr mapId="43" xpath="/ns1:Root/ns1:Prog/ns1:Achieved__P8_5" xmlDataType="string"/>
    </xmlCellPr>
  </singleXmlCell>
  <singleXmlCell id="693" r="O132" connectionId="0">
    <xmlCellPr id="1" uniqueName="1">
      <xmlPr mapId="43" xpath="/ns1:Root/ns1:Prog/ns1:Target_P8_6" xmlDataType="double"/>
    </xmlCellPr>
  </singleXmlCell>
  <singleXmlCell id="705" r="O133" connectionId="0">
    <xmlCellPr id="1" uniqueName="1">
      <xmlPr mapId="43" xpath="/ns1:Root/ns1:Prog/ns1:Achieved__P8_6"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view="pageBreakPreview" zoomScale="90" zoomScaleSheetLayoutView="9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541" t="str">
        <f>+'Grant Detail'!B3:J3</f>
        <v>Dashboard:  Ghana - MALARIA  (AngloGold Asanti (Ghana) Malaria Ltd)</v>
      </c>
      <c r="C2" s="541"/>
      <c r="D2" s="541"/>
      <c r="E2" s="541"/>
      <c r="F2" s="541"/>
      <c r="G2" s="541"/>
      <c r="H2" s="541"/>
      <c r="I2" s="541"/>
      <c r="J2" s="541"/>
      <c r="K2" s="541"/>
      <c r="L2" s="541"/>
      <c r="M2" s="1"/>
      <c r="N2" s="1"/>
      <c r="O2" s="1"/>
    </row>
    <row r="4" spans="2:15" ht="21">
      <c r="B4" s="542" t="str">
        <f>+IF('Data Entry'!G6="Please Select", "",'Data Entry'!G6) &amp;"  "&amp;+IF('Data Entry'!G8="Please Select", "", 'Data Entry'!G8&amp;",  ")&amp;+IF('Data Entry'!I8="Please Select","",'Data Entry'!I8)</f>
        <v>MALARIA  1,  New Funding Model</v>
      </c>
      <c r="C4" s="542"/>
      <c r="D4" s="542"/>
      <c r="E4" s="543"/>
      <c r="F4" s="229"/>
      <c r="G4" s="229"/>
      <c r="H4" s="324" t="str">
        <f>+'Data Entry'!B6&amp;" "&amp;+'Data Entry'!C6</f>
        <v>Grant No.: GHA-M-AGAMAL</v>
      </c>
      <c r="I4" s="324"/>
      <c r="J4" s="228"/>
      <c r="K4" s="229"/>
      <c r="L4" s="229"/>
    </row>
    <row r="22" spans="2:12" ht="26.25">
      <c r="B22" s="544" t="s">
        <v>382</v>
      </c>
      <c r="C22" s="545"/>
      <c r="D22" s="545"/>
      <c r="E22" s="545"/>
      <c r="F22" s="545"/>
      <c r="G22" s="545"/>
      <c r="H22" s="545"/>
      <c r="I22" s="545"/>
      <c r="J22" s="545"/>
      <c r="K22" s="545"/>
      <c r="L22" s="545"/>
    </row>
  </sheetData>
  <sheetProtection password="CFC9" sheet="1"/>
  <mergeCells count="3">
    <mergeCell ref="B2:L2"/>
    <mergeCell ref="B4:E4"/>
    <mergeCell ref="B22:L22"/>
  </mergeCells>
  <phoneticPr fontId="31"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F118"/>
  <sheetViews>
    <sheetView workbookViewId="0">
      <selection activeCell="A4" sqref="A4"/>
    </sheetView>
  </sheetViews>
  <sheetFormatPr defaultColWidth="8.85546875" defaultRowHeight="15"/>
  <cols>
    <col min="1" max="1" width="18.5703125" style="459" bestFit="1" customWidth="1"/>
    <col min="2" max="2" width="7.7109375" customWidth="1"/>
    <col min="3" max="3" width="13.140625" customWidth="1"/>
    <col min="5" max="5" width="5.7109375" customWidth="1"/>
    <col min="6" max="6" width="103.140625" customWidth="1"/>
  </cols>
  <sheetData>
    <row r="1" spans="1:6">
      <c r="A1" s="513" t="s">
        <v>433</v>
      </c>
      <c r="B1" s="486" t="str">
        <f>'Data Entry'!G8</f>
        <v>1</v>
      </c>
      <c r="D1" s="74" t="s">
        <v>402</v>
      </c>
    </row>
    <row r="2" spans="1:6">
      <c r="A2" s="513" t="s">
        <v>418</v>
      </c>
      <c r="F2" s="490" t="s">
        <v>434</v>
      </c>
    </row>
    <row r="3" spans="1:6" ht="25.5">
      <c r="A3" s="514" t="s">
        <v>403</v>
      </c>
      <c r="B3" s="460" t="s">
        <v>404</v>
      </c>
      <c r="C3" s="460" t="s">
        <v>405</v>
      </c>
      <c r="D3" s="460" t="s">
        <v>406</v>
      </c>
      <c r="E3" s="460" t="s">
        <v>407</v>
      </c>
      <c r="F3" s="460" t="s">
        <v>408</v>
      </c>
    </row>
    <row r="4" spans="1:6" s="505" customFormat="1" ht="63.75">
      <c r="A4" s="515" t="s">
        <v>475</v>
      </c>
      <c r="B4" s="504" t="s">
        <v>128</v>
      </c>
      <c r="C4" s="504" t="s">
        <v>476</v>
      </c>
      <c r="D4" s="504" t="s">
        <v>477</v>
      </c>
      <c r="E4" s="504">
        <v>1.1000000000000001</v>
      </c>
      <c r="F4" s="518" t="s">
        <v>478</v>
      </c>
    </row>
    <row r="5" spans="1:6" ht="25.5">
      <c r="A5" s="516" t="s">
        <v>475</v>
      </c>
      <c r="B5" s="487" t="s">
        <v>128</v>
      </c>
      <c r="C5" s="487" t="s">
        <v>476</v>
      </c>
      <c r="D5" s="487" t="s">
        <v>401</v>
      </c>
      <c r="E5" s="487">
        <v>1.5</v>
      </c>
      <c r="F5" s="488" t="s">
        <v>479</v>
      </c>
    </row>
    <row r="6" spans="1:6">
      <c r="A6" s="519"/>
      <c r="B6" s="520"/>
      <c r="C6" s="520"/>
      <c r="D6" s="520"/>
      <c r="E6" s="520"/>
      <c r="F6" s="521"/>
    </row>
    <row r="7" spans="1:6" ht="63.75">
      <c r="A7" s="516" t="s">
        <v>480</v>
      </c>
      <c r="B7" s="487" t="s">
        <v>131</v>
      </c>
      <c r="C7" s="487" t="s">
        <v>476</v>
      </c>
      <c r="D7" s="487" t="s">
        <v>401</v>
      </c>
      <c r="E7" s="487">
        <v>1.1000000000000001</v>
      </c>
      <c r="F7" s="488" t="s">
        <v>482</v>
      </c>
    </row>
    <row r="8" spans="1:6" ht="25.5">
      <c r="A8" s="516" t="s">
        <v>480</v>
      </c>
      <c r="B8" s="487" t="s">
        <v>131</v>
      </c>
      <c r="C8" s="487" t="s">
        <v>476</v>
      </c>
      <c r="D8" s="487" t="s">
        <v>401</v>
      </c>
      <c r="E8" s="487">
        <v>1.5</v>
      </c>
      <c r="F8" s="488" t="s">
        <v>481</v>
      </c>
    </row>
    <row r="9" spans="1:6" ht="25.5">
      <c r="A9" s="516" t="s">
        <v>480</v>
      </c>
      <c r="B9" s="487" t="s">
        <v>131</v>
      </c>
      <c r="C9" s="487" t="s">
        <v>476</v>
      </c>
      <c r="D9" s="487" t="s">
        <v>401</v>
      </c>
      <c r="E9" s="487">
        <v>1.6</v>
      </c>
      <c r="F9" s="488" t="s">
        <v>483</v>
      </c>
    </row>
    <row r="10" spans="1:6">
      <c r="A10" s="516"/>
      <c r="B10" s="487"/>
      <c r="C10" s="487"/>
      <c r="D10" s="487"/>
      <c r="E10" s="487"/>
      <c r="F10" s="488"/>
    </row>
    <row r="11" spans="1:6">
      <c r="A11" s="516"/>
      <c r="B11" s="487"/>
      <c r="C11" s="487"/>
      <c r="D11" s="487"/>
      <c r="E11" s="487"/>
      <c r="F11" s="488"/>
    </row>
    <row r="12" spans="1:6">
      <c r="A12" s="516"/>
      <c r="B12" s="487"/>
      <c r="C12" s="487"/>
      <c r="D12" s="487"/>
      <c r="E12" s="487"/>
      <c r="F12" s="488"/>
    </row>
    <row r="13" spans="1:6">
      <c r="A13" s="516"/>
      <c r="B13" s="487"/>
      <c r="C13" s="487"/>
      <c r="D13" s="487"/>
      <c r="E13" s="487"/>
      <c r="F13" s="488"/>
    </row>
    <row r="14" spans="1:6">
      <c r="A14" s="516"/>
      <c r="B14" s="487"/>
      <c r="C14" s="487"/>
      <c r="D14" s="487"/>
      <c r="E14" s="487"/>
      <c r="F14" s="488"/>
    </row>
    <row r="15" spans="1:6">
      <c r="A15" s="516"/>
      <c r="B15" s="487"/>
      <c r="C15" s="487"/>
      <c r="D15" s="487"/>
      <c r="E15" s="487"/>
      <c r="F15" s="488"/>
    </row>
    <row r="16" spans="1:6">
      <c r="A16" s="516"/>
      <c r="B16" s="487"/>
      <c r="C16" s="487"/>
      <c r="D16" s="487"/>
      <c r="E16" s="487"/>
      <c r="F16" s="488"/>
    </row>
    <row r="17" spans="1:6">
      <c r="A17" s="516"/>
      <c r="B17" s="487"/>
      <c r="C17" s="487"/>
      <c r="D17" s="487"/>
      <c r="E17" s="487"/>
      <c r="F17" s="488"/>
    </row>
    <row r="18" spans="1:6">
      <c r="A18" s="516"/>
      <c r="B18" s="487"/>
      <c r="C18" s="487"/>
      <c r="D18" s="487"/>
      <c r="E18" s="487"/>
      <c r="F18" s="488"/>
    </row>
    <row r="19" spans="1:6">
      <c r="A19" s="516"/>
      <c r="B19" s="487"/>
      <c r="C19" s="487"/>
      <c r="D19" s="487"/>
      <c r="E19" s="487"/>
      <c r="F19" s="488"/>
    </row>
    <row r="20" spans="1:6">
      <c r="A20" s="516"/>
      <c r="B20" s="487"/>
      <c r="C20" s="487"/>
      <c r="D20" s="487"/>
      <c r="E20" s="487"/>
      <c r="F20" s="488"/>
    </row>
    <row r="21" spans="1:6">
      <c r="A21" s="516"/>
      <c r="B21" s="487"/>
      <c r="C21" s="487"/>
      <c r="D21" s="487"/>
      <c r="E21" s="487"/>
      <c r="F21" s="488"/>
    </row>
    <row r="22" spans="1:6">
      <c r="A22" s="516"/>
      <c r="B22" s="487"/>
      <c r="C22" s="487"/>
      <c r="D22" s="487"/>
      <c r="E22" s="487"/>
      <c r="F22" s="488"/>
    </row>
    <row r="23" spans="1:6">
      <c r="A23" s="516"/>
      <c r="B23" s="487"/>
      <c r="C23" s="487"/>
      <c r="D23" s="487"/>
      <c r="E23" s="487"/>
      <c r="F23" s="488"/>
    </row>
    <row r="24" spans="1:6">
      <c r="A24" s="516"/>
      <c r="B24" s="487"/>
      <c r="C24" s="487"/>
      <c r="D24" s="487"/>
      <c r="E24" s="487"/>
      <c r="F24" s="488"/>
    </row>
    <row r="25" spans="1:6">
      <c r="A25" s="516"/>
      <c r="B25" s="487"/>
      <c r="C25" s="487"/>
      <c r="D25" s="487"/>
      <c r="E25" s="487"/>
      <c r="F25" s="488"/>
    </row>
    <row r="26" spans="1:6">
      <c r="A26" s="516"/>
      <c r="B26" s="487"/>
      <c r="C26" s="487"/>
      <c r="D26" s="487"/>
      <c r="E26" s="487"/>
      <c r="F26" s="488"/>
    </row>
    <row r="27" spans="1:6">
      <c r="A27" s="516"/>
      <c r="B27" s="487"/>
      <c r="C27" s="487"/>
      <c r="D27" s="487"/>
      <c r="E27" s="487"/>
      <c r="F27" s="488"/>
    </row>
    <row r="28" spans="1:6">
      <c r="A28" s="516"/>
      <c r="B28" s="487"/>
      <c r="C28" s="487"/>
      <c r="D28" s="487"/>
      <c r="E28" s="487"/>
      <c r="F28" s="488"/>
    </row>
    <row r="29" spans="1:6">
      <c r="A29" s="516"/>
      <c r="B29" s="487"/>
      <c r="C29" s="487"/>
      <c r="D29" s="487"/>
      <c r="E29" s="487"/>
      <c r="F29" s="488"/>
    </row>
    <row r="30" spans="1:6">
      <c r="A30" s="516"/>
      <c r="B30" s="487"/>
      <c r="C30" s="487"/>
      <c r="D30" s="487"/>
      <c r="E30" s="487"/>
      <c r="F30" s="488"/>
    </row>
    <row r="31" spans="1:6">
      <c r="A31" s="516"/>
      <c r="B31" s="487"/>
      <c r="C31" s="487"/>
      <c r="D31" s="487"/>
      <c r="E31" s="487"/>
      <c r="F31" s="488"/>
    </row>
    <row r="32" spans="1:6">
      <c r="A32" s="516"/>
      <c r="B32" s="487"/>
      <c r="C32" s="487"/>
      <c r="D32" s="487"/>
      <c r="E32" s="487"/>
      <c r="F32" s="488"/>
    </row>
    <row r="33" spans="1:6">
      <c r="A33" s="517"/>
      <c r="B33" s="489"/>
      <c r="C33" s="489"/>
      <c r="D33" s="489"/>
      <c r="E33" s="489"/>
      <c r="F33" s="489"/>
    </row>
    <row r="34" spans="1:6">
      <c r="A34" s="517"/>
      <c r="B34" s="489"/>
      <c r="C34" s="489"/>
      <c r="D34" s="489"/>
      <c r="E34" s="489"/>
      <c r="F34" s="489"/>
    </row>
    <row r="35" spans="1:6">
      <c r="A35" s="517"/>
      <c r="B35" s="489"/>
      <c r="C35" s="489"/>
      <c r="D35" s="489"/>
      <c r="E35" s="489"/>
      <c r="F35" s="489"/>
    </row>
    <row r="36" spans="1:6">
      <c r="A36" s="517"/>
      <c r="B36" s="489"/>
      <c r="C36" s="489"/>
      <c r="D36" s="489"/>
      <c r="E36" s="489"/>
      <c r="F36" s="489"/>
    </row>
    <row r="37" spans="1:6">
      <c r="A37" s="517"/>
      <c r="B37" s="489"/>
      <c r="C37" s="489"/>
      <c r="D37" s="489"/>
      <c r="E37" s="489"/>
      <c r="F37" s="489"/>
    </row>
    <row r="38" spans="1:6">
      <c r="A38" s="517"/>
      <c r="B38" s="489"/>
      <c r="C38" s="489"/>
      <c r="D38" s="489"/>
      <c r="E38" s="489"/>
      <c r="F38" s="489"/>
    </row>
    <row r="39" spans="1:6">
      <c r="A39" s="517"/>
      <c r="B39" s="489"/>
      <c r="C39" s="489"/>
      <c r="D39" s="489"/>
      <c r="E39" s="489"/>
      <c r="F39" s="489"/>
    </row>
    <row r="40" spans="1:6">
      <c r="A40" s="517"/>
      <c r="B40" s="489"/>
      <c r="C40" s="489"/>
      <c r="D40" s="489"/>
      <c r="E40" s="489"/>
      <c r="F40" s="489"/>
    </row>
    <row r="41" spans="1:6">
      <c r="A41" s="517"/>
      <c r="B41" s="489"/>
      <c r="C41" s="489"/>
      <c r="D41" s="489"/>
      <c r="E41" s="489"/>
      <c r="F41" s="489"/>
    </row>
    <row r="42" spans="1:6">
      <c r="A42" s="517"/>
      <c r="B42" s="489"/>
      <c r="C42" s="489"/>
      <c r="D42" s="489"/>
      <c r="E42" s="489"/>
      <c r="F42" s="489"/>
    </row>
    <row r="43" spans="1:6">
      <c r="A43" s="517"/>
      <c r="B43" s="489"/>
      <c r="C43" s="489"/>
      <c r="D43" s="489"/>
      <c r="E43" s="489"/>
      <c r="F43" s="489"/>
    </row>
    <row r="44" spans="1:6">
      <c r="A44" s="517"/>
      <c r="B44" s="489"/>
      <c r="C44" s="489"/>
      <c r="D44" s="489"/>
      <c r="E44" s="489"/>
      <c r="F44" s="489"/>
    </row>
    <row r="45" spans="1:6">
      <c r="A45" s="517"/>
      <c r="B45" s="489"/>
      <c r="C45" s="489"/>
      <c r="D45" s="489"/>
      <c r="E45" s="489"/>
      <c r="F45" s="489"/>
    </row>
    <row r="46" spans="1:6">
      <c r="A46" s="517"/>
      <c r="B46" s="489"/>
      <c r="C46" s="489"/>
      <c r="D46" s="489"/>
      <c r="E46" s="489"/>
      <c r="F46" s="489"/>
    </row>
    <row r="47" spans="1:6">
      <c r="A47" s="517"/>
      <c r="B47" s="489"/>
      <c r="C47" s="489"/>
      <c r="D47" s="489"/>
      <c r="E47" s="489"/>
      <c r="F47" s="489"/>
    </row>
    <row r="48" spans="1:6">
      <c r="A48" s="517"/>
      <c r="B48" s="489"/>
      <c r="C48" s="489"/>
      <c r="D48" s="489"/>
      <c r="E48" s="489"/>
      <c r="F48" s="489"/>
    </row>
    <row r="49" spans="1:6">
      <c r="A49" s="517"/>
      <c r="B49" s="489"/>
      <c r="C49" s="489"/>
      <c r="D49" s="489"/>
      <c r="E49" s="489"/>
      <c r="F49" s="489"/>
    </row>
    <row r="50" spans="1:6">
      <c r="A50" s="517"/>
      <c r="B50" s="489"/>
      <c r="C50" s="489"/>
      <c r="D50" s="489"/>
      <c r="E50" s="489"/>
      <c r="F50" s="489"/>
    </row>
    <row r="51" spans="1:6">
      <c r="A51" s="517"/>
      <c r="B51" s="489"/>
      <c r="C51" s="489"/>
      <c r="D51" s="489"/>
      <c r="E51" s="489"/>
      <c r="F51" s="489"/>
    </row>
    <row r="52" spans="1:6">
      <c r="A52" s="517"/>
      <c r="B52" s="489"/>
      <c r="C52" s="489"/>
      <c r="D52" s="489"/>
      <c r="E52" s="489"/>
      <c r="F52" s="489"/>
    </row>
    <row r="53" spans="1:6">
      <c r="A53" s="517"/>
      <c r="B53" s="489"/>
      <c r="C53" s="489"/>
      <c r="D53" s="489"/>
      <c r="E53" s="489"/>
      <c r="F53" s="489"/>
    </row>
    <row r="54" spans="1:6">
      <c r="A54" s="517"/>
      <c r="B54" s="489"/>
      <c r="C54" s="489"/>
      <c r="D54" s="489"/>
      <c r="E54" s="489"/>
      <c r="F54" s="489"/>
    </row>
    <row r="55" spans="1:6">
      <c r="A55" s="517"/>
      <c r="B55" s="489"/>
      <c r="C55" s="489"/>
      <c r="D55" s="489"/>
      <c r="E55" s="489"/>
      <c r="F55" s="489"/>
    </row>
    <row r="56" spans="1:6">
      <c r="A56" s="517"/>
      <c r="B56" s="489"/>
      <c r="C56" s="489"/>
      <c r="D56" s="489"/>
      <c r="E56" s="489"/>
      <c r="F56" s="489"/>
    </row>
    <row r="57" spans="1:6">
      <c r="A57" s="517"/>
      <c r="B57" s="489"/>
      <c r="C57" s="489"/>
      <c r="D57" s="489"/>
      <c r="E57" s="489"/>
      <c r="F57" s="489"/>
    </row>
    <row r="58" spans="1:6">
      <c r="A58" s="517"/>
      <c r="B58" s="489"/>
      <c r="C58" s="489"/>
      <c r="D58" s="489"/>
      <c r="E58" s="489"/>
      <c r="F58" s="489"/>
    </row>
    <row r="59" spans="1:6">
      <c r="A59" s="517"/>
      <c r="B59" s="489"/>
      <c r="C59" s="489"/>
      <c r="D59" s="489"/>
      <c r="E59" s="489"/>
      <c r="F59" s="489"/>
    </row>
    <row r="60" spans="1:6">
      <c r="A60" s="517"/>
      <c r="B60" s="489"/>
      <c r="C60" s="489"/>
      <c r="D60" s="489"/>
      <c r="E60" s="489"/>
      <c r="F60" s="489"/>
    </row>
    <row r="61" spans="1:6">
      <c r="A61" s="517"/>
      <c r="B61" s="489"/>
      <c r="C61" s="489"/>
      <c r="D61" s="489"/>
      <c r="E61" s="489"/>
      <c r="F61" s="489"/>
    </row>
    <row r="62" spans="1:6">
      <c r="A62" s="517"/>
      <c r="B62" s="489"/>
      <c r="C62" s="489"/>
      <c r="D62" s="489"/>
      <c r="E62" s="489"/>
      <c r="F62" s="489"/>
    </row>
    <row r="63" spans="1:6">
      <c r="A63" s="517"/>
      <c r="B63" s="489"/>
      <c r="C63" s="489"/>
      <c r="D63" s="489"/>
      <c r="E63" s="489"/>
      <c r="F63" s="489"/>
    </row>
    <row r="64" spans="1:6">
      <c r="A64" s="517"/>
      <c r="B64" s="489"/>
      <c r="C64" s="489"/>
      <c r="D64" s="489"/>
      <c r="E64" s="489"/>
      <c r="F64" s="489"/>
    </row>
    <row r="65" spans="1:6">
      <c r="A65" s="517"/>
      <c r="B65" s="489"/>
      <c r="C65" s="489"/>
      <c r="D65" s="489"/>
      <c r="E65" s="489"/>
      <c r="F65" s="489"/>
    </row>
    <row r="66" spans="1:6">
      <c r="A66" s="517"/>
      <c r="B66" s="489"/>
      <c r="C66" s="489"/>
      <c r="D66" s="489"/>
      <c r="E66" s="489"/>
      <c r="F66" s="489"/>
    </row>
    <row r="67" spans="1:6">
      <c r="A67" s="517"/>
      <c r="B67" s="489"/>
      <c r="C67" s="489"/>
      <c r="D67" s="489"/>
      <c r="E67" s="489"/>
      <c r="F67" s="489"/>
    </row>
    <row r="68" spans="1:6">
      <c r="A68" s="517"/>
      <c r="B68" s="489"/>
      <c r="C68" s="489"/>
      <c r="D68" s="489"/>
      <c r="E68" s="489"/>
      <c r="F68" s="489"/>
    </row>
    <row r="69" spans="1:6">
      <c r="A69" s="517"/>
      <c r="B69" s="489"/>
      <c r="C69" s="489"/>
      <c r="D69" s="489"/>
      <c r="E69" s="489"/>
      <c r="F69" s="489"/>
    </row>
    <row r="70" spans="1:6">
      <c r="A70" s="517"/>
      <c r="B70" s="489"/>
      <c r="C70" s="489"/>
      <c r="D70" s="489"/>
      <c r="E70" s="489"/>
      <c r="F70" s="489"/>
    </row>
    <row r="71" spans="1:6">
      <c r="A71" s="517"/>
      <c r="B71" s="489"/>
      <c r="C71" s="489"/>
      <c r="D71" s="489"/>
      <c r="E71" s="489"/>
      <c r="F71" s="489"/>
    </row>
    <row r="72" spans="1:6">
      <c r="A72" s="517"/>
      <c r="B72" s="489"/>
      <c r="C72" s="489"/>
      <c r="D72" s="489"/>
      <c r="E72" s="489"/>
      <c r="F72" s="489"/>
    </row>
    <row r="73" spans="1:6">
      <c r="A73" s="517"/>
      <c r="B73" s="489"/>
      <c r="C73" s="489"/>
      <c r="D73" s="489"/>
      <c r="E73" s="489"/>
      <c r="F73" s="489"/>
    </row>
    <row r="74" spans="1:6">
      <c r="A74" s="517"/>
      <c r="B74" s="489"/>
      <c r="C74" s="489"/>
      <c r="D74" s="489"/>
      <c r="E74" s="489"/>
      <c r="F74" s="489"/>
    </row>
    <row r="75" spans="1:6">
      <c r="A75" s="517"/>
      <c r="B75" s="489"/>
      <c r="C75" s="489"/>
      <c r="D75" s="489"/>
      <c r="E75" s="489"/>
      <c r="F75" s="489"/>
    </row>
    <row r="76" spans="1:6">
      <c r="A76" s="517"/>
      <c r="B76" s="489"/>
      <c r="C76" s="489"/>
      <c r="D76" s="489"/>
      <c r="E76" s="489"/>
      <c r="F76" s="489"/>
    </row>
    <row r="77" spans="1:6">
      <c r="A77" s="517"/>
      <c r="B77" s="489"/>
      <c r="C77" s="489"/>
      <c r="D77" s="489"/>
      <c r="E77" s="489"/>
      <c r="F77" s="489"/>
    </row>
    <row r="78" spans="1:6">
      <c r="A78" s="517"/>
      <c r="B78" s="489"/>
      <c r="C78" s="489"/>
      <c r="D78" s="489"/>
      <c r="E78" s="489"/>
      <c r="F78" s="489"/>
    </row>
    <row r="79" spans="1:6">
      <c r="A79" s="517"/>
      <c r="B79" s="489"/>
      <c r="C79" s="489"/>
      <c r="D79" s="489"/>
      <c r="E79" s="489"/>
      <c r="F79" s="489"/>
    </row>
    <row r="80" spans="1:6">
      <c r="A80" s="517"/>
      <c r="B80" s="489"/>
      <c r="C80" s="489"/>
      <c r="D80" s="489"/>
      <c r="E80" s="489"/>
      <c r="F80" s="489"/>
    </row>
    <row r="81" spans="1:6">
      <c r="A81" s="517"/>
      <c r="B81" s="489"/>
      <c r="C81" s="489"/>
      <c r="D81" s="489"/>
      <c r="E81" s="489"/>
      <c r="F81" s="489"/>
    </row>
    <row r="82" spans="1:6">
      <c r="A82" s="517"/>
      <c r="B82" s="489"/>
      <c r="C82" s="489"/>
      <c r="D82" s="489"/>
      <c r="E82" s="489"/>
      <c r="F82" s="489"/>
    </row>
    <row r="83" spans="1:6">
      <c r="A83" s="517"/>
      <c r="B83" s="489"/>
      <c r="C83" s="489"/>
      <c r="D83" s="489"/>
      <c r="E83" s="489"/>
      <c r="F83" s="489"/>
    </row>
    <row r="84" spans="1:6">
      <c r="A84" s="517"/>
      <c r="B84" s="489"/>
      <c r="C84" s="489"/>
      <c r="D84" s="489"/>
      <c r="E84" s="489"/>
      <c r="F84" s="489"/>
    </row>
    <row r="85" spans="1:6">
      <c r="A85" s="517"/>
      <c r="B85" s="489"/>
      <c r="C85" s="489"/>
      <c r="D85" s="489"/>
      <c r="E85" s="489"/>
      <c r="F85" s="489"/>
    </row>
    <row r="86" spans="1:6">
      <c r="A86" s="517"/>
      <c r="B86" s="489"/>
      <c r="C86" s="489"/>
      <c r="D86" s="489"/>
      <c r="E86" s="489"/>
      <c r="F86" s="489"/>
    </row>
    <row r="87" spans="1:6">
      <c r="A87" s="517"/>
      <c r="B87" s="489"/>
      <c r="C87" s="489"/>
      <c r="D87" s="489"/>
      <c r="E87" s="489"/>
      <c r="F87" s="489"/>
    </row>
    <row r="88" spans="1:6">
      <c r="A88" s="517"/>
      <c r="B88" s="489"/>
      <c r="C88" s="489"/>
      <c r="D88" s="489"/>
      <c r="E88" s="489"/>
      <c r="F88" s="489"/>
    </row>
    <row r="89" spans="1:6">
      <c r="A89" s="517"/>
      <c r="B89" s="489"/>
      <c r="C89" s="489"/>
      <c r="D89" s="489"/>
      <c r="E89" s="489"/>
      <c r="F89" s="489"/>
    </row>
    <row r="90" spans="1:6">
      <c r="A90" s="517"/>
      <c r="B90" s="489"/>
      <c r="C90" s="489"/>
      <c r="D90" s="489"/>
      <c r="E90" s="489"/>
      <c r="F90" s="489"/>
    </row>
    <row r="91" spans="1:6">
      <c r="A91" s="517"/>
      <c r="B91" s="489"/>
      <c r="C91" s="489"/>
      <c r="D91" s="489"/>
      <c r="E91" s="489"/>
      <c r="F91" s="489"/>
    </row>
    <row r="92" spans="1:6">
      <c r="A92" s="517"/>
      <c r="B92" s="489"/>
      <c r="C92" s="489"/>
      <c r="D92" s="489"/>
      <c r="E92" s="489"/>
      <c r="F92" s="489"/>
    </row>
    <row r="93" spans="1:6">
      <c r="A93" s="517"/>
      <c r="B93" s="489"/>
      <c r="C93" s="489"/>
      <c r="D93" s="489"/>
      <c r="E93" s="489"/>
      <c r="F93" s="489"/>
    </row>
    <row r="94" spans="1:6">
      <c r="A94" s="517"/>
      <c r="B94" s="489"/>
      <c r="C94" s="489"/>
      <c r="D94" s="489"/>
      <c r="E94" s="489"/>
      <c r="F94" s="489"/>
    </row>
    <row r="95" spans="1:6">
      <c r="A95" s="517"/>
      <c r="B95" s="489"/>
      <c r="C95" s="489"/>
      <c r="D95" s="489"/>
      <c r="E95" s="489"/>
      <c r="F95" s="489"/>
    </row>
    <row r="96" spans="1:6">
      <c r="A96" s="517"/>
      <c r="B96" s="489"/>
      <c r="C96" s="489"/>
      <c r="D96" s="489"/>
      <c r="E96" s="489"/>
      <c r="F96" s="489"/>
    </row>
    <row r="97" spans="1:6">
      <c r="A97" s="517"/>
      <c r="B97" s="489"/>
      <c r="C97" s="489"/>
      <c r="D97" s="489"/>
      <c r="E97" s="489"/>
      <c r="F97" s="489"/>
    </row>
    <row r="98" spans="1:6">
      <c r="A98" s="517"/>
      <c r="B98" s="489"/>
      <c r="C98" s="489"/>
      <c r="D98" s="489"/>
      <c r="E98" s="489"/>
      <c r="F98" s="489"/>
    </row>
    <row r="99" spans="1:6">
      <c r="A99" s="517"/>
      <c r="B99" s="489"/>
      <c r="C99" s="489"/>
      <c r="D99" s="489"/>
      <c r="E99" s="489"/>
      <c r="F99" s="489"/>
    </row>
    <row r="100" spans="1:6">
      <c r="A100" s="517"/>
      <c r="B100" s="489"/>
      <c r="C100" s="489"/>
      <c r="D100" s="489"/>
      <c r="E100" s="489"/>
      <c r="F100" s="489"/>
    </row>
    <row r="101" spans="1:6">
      <c r="A101" s="517"/>
      <c r="B101" s="489"/>
      <c r="C101" s="489"/>
      <c r="D101" s="489"/>
      <c r="E101" s="489"/>
      <c r="F101" s="489"/>
    </row>
    <row r="102" spans="1:6">
      <c r="A102" s="517"/>
      <c r="B102" s="489"/>
      <c r="C102" s="489"/>
      <c r="D102" s="489"/>
      <c r="E102" s="489"/>
      <c r="F102" s="489"/>
    </row>
    <row r="103" spans="1:6">
      <c r="A103" s="517"/>
      <c r="B103" s="489"/>
      <c r="C103" s="489"/>
      <c r="D103" s="489"/>
      <c r="E103" s="489"/>
      <c r="F103" s="489"/>
    </row>
    <row r="104" spans="1:6">
      <c r="A104" s="517"/>
      <c r="B104" s="489"/>
      <c r="C104" s="489"/>
      <c r="D104" s="489"/>
      <c r="E104" s="489"/>
      <c r="F104" s="489"/>
    </row>
    <row r="105" spans="1:6">
      <c r="A105" s="517"/>
      <c r="B105" s="489"/>
      <c r="C105" s="489"/>
      <c r="D105" s="489"/>
      <c r="E105" s="489"/>
      <c r="F105" s="489"/>
    </row>
    <row r="106" spans="1:6">
      <c r="A106" s="517"/>
      <c r="B106" s="489"/>
      <c r="C106" s="489"/>
      <c r="D106" s="489"/>
      <c r="E106" s="489"/>
      <c r="F106" s="489"/>
    </row>
    <row r="107" spans="1:6">
      <c r="A107" s="517"/>
      <c r="B107" s="489"/>
      <c r="C107" s="489"/>
      <c r="D107" s="489"/>
      <c r="E107" s="489"/>
      <c r="F107" s="489"/>
    </row>
    <row r="108" spans="1:6">
      <c r="A108" s="517"/>
      <c r="B108" s="489"/>
      <c r="C108" s="489"/>
      <c r="D108" s="489"/>
      <c r="E108" s="489"/>
      <c r="F108" s="489"/>
    </row>
    <row r="109" spans="1:6">
      <c r="A109" s="517"/>
      <c r="B109" s="489"/>
      <c r="C109" s="489"/>
      <c r="D109" s="489"/>
      <c r="E109" s="489"/>
      <c r="F109" s="489"/>
    </row>
    <row r="110" spans="1:6">
      <c r="A110" s="517"/>
      <c r="B110" s="489"/>
      <c r="C110" s="489"/>
      <c r="D110" s="489"/>
      <c r="E110" s="489"/>
      <c r="F110" s="489"/>
    </row>
    <row r="111" spans="1:6">
      <c r="A111" s="517"/>
      <c r="B111" s="489"/>
      <c r="C111" s="489"/>
      <c r="D111" s="489"/>
      <c r="E111" s="489"/>
      <c r="F111" s="489"/>
    </row>
    <row r="112" spans="1:6">
      <c r="A112" s="517"/>
      <c r="B112" s="489"/>
      <c r="C112" s="489"/>
      <c r="D112" s="489"/>
      <c r="E112" s="489"/>
      <c r="F112" s="489"/>
    </row>
    <row r="113" spans="1:6">
      <c r="A113" s="517"/>
      <c r="B113" s="489"/>
      <c r="C113" s="489"/>
      <c r="D113" s="489"/>
      <c r="E113" s="489"/>
      <c r="F113" s="489"/>
    </row>
    <row r="114" spans="1:6">
      <c r="A114" s="517"/>
      <c r="B114" s="489"/>
      <c r="C114" s="489"/>
      <c r="D114" s="489"/>
      <c r="E114" s="489"/>
      <c r="F114" s="489"/>
    </row>
    <row r="115" spans="1:6">
      <c r="A115" s="517"/>
      <c r="B115" s="489"/>
      <c r="C115" s="489"/>
      <c r="D115" s="489"/>
      <c r="E115" s="489"/>
      <c r="F115" s="489"/>
    </row>
    <row r="116" spans="1:6">
      <c r="A116" s="517"/>
      <c r="B116" s="489"/>
      <c r="C116" s="489"/>
      <c r="D116" s="489"/>
      <c r="E116" s="489"/>
      <c r="F116" s="489"/>
    </row>
    <row r="117" spans="1:6">
      <c r="A117" s="517"/>
      <c r="B117" s="489"/>
      <c r="C117" s="489"/>
      <c r="D117" s="489"/>
      <c r="E117" s="489"/>
      <c r="F117" s="489"/>
    </row>
    <row r="118" spans="1:6">
      <c r="A118" s="517"/>
      <c r="B118" s="489"/>
      <c r="C118" s="489"/>
      <c r="D118" s="489"/>
      <c r="E118" s="489"/>
      <c r="F118" s="489"/>
    </row>
  </sheetData>
  <phoneticPr fontId="31" type="noConversion"/>
  <pageMargins left="0.75" right="0.75" top="1" bottom="1" header="0.5" footer="0.5"/>
  <pageSetup orientation="landscape" horizontalDpi="4294967295" r:id="rId1"/>
  <headerFooter alignWithMargins="0">
    <oddFooter>&amp;L&amp;8&amp;F: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zoomScale="80" zoomScaleNormal="80" zoomScalePageLayoutView="80" workbookViewId="0">
      <selection activeCell="I30" sqref="I30"/>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22" t="str">
        <f>'Grant Detail'!B3:J3</f>
        <v>Dashboard:  Ghana - MALARIA  (AngloGold Asanti (Ghana) Malaria Ltd)</v>
      </c>
      <c r="C3" s="922"/>
      <c r="D3" s="922"/>
      <c r="E3" s="922"/>
      <c r="F3" s="922"/>
      <c r="G3" s="922"/>
      <c r="H3" s="922"/>
      <c r="I3" s="1"/>
    </row>
    <row r="6" spans="2:15" ht="18.75">
      <c r="B6" s="912" t="s">
        <v>317</v>
      </c>
      <c r="C6" s="912"/>
      <c r="D6" s="912"/>
      <c r="E6" s="912"/>
      <c r="F6" s="912"/>
      <c r="G6" s="912"/>
      <c r="H6" s="912"/>
    </row>
    <row r="8" spans="2:15" ht="18.75">
      <c r="B8" s="62" t="s">
        <v>40</v>
      </c>
      <c r="C8" s="62" t="s">
        <v>43</v>
      </c>
      <c r="D8" s="62" t="s">
        <v>44</v>
      </c>
      <c r="E8" s="62" t="s">
        <v>49</v>
      </c>
      <c r="F8" s="62" t="s">
        <v>291</v>
      </c>
      <c r="G8" s="62" t="s">
        <v>271</v>
      </c>
      <c r="H8" s="62" t="s">
        <v>297</v>
      </c>
      <c r="I8" s="63" t="s">
        <v>94</v>
      </c>
      <c r="J8" s="63" t="s">
        <v>135</v>
      </c>
      <c r="M8" s="19"/>
      <c r="N8" s="19"/>
      <c r="O8" s="19"/>
    </row>
    <row r="9" spans="2:15">
      <c r="B9" s="86" t="s">
        <v>355</v>
      </c>
      <c r="C9" s="86" t="s">
        <v>355</v>
      </c>
      <c r="D9" s="86" t="s">
        <v>355</v>
      </c>
      <c r="E9" s="86" t="s">
        <v>355</v>
      </c>
      <c r="F9" s="86" t="s">
        <v>355</v>
      </c>
      <c r="G9" s="86" t="s">
        <v>355</v>
      </c>
      <c r="H9" s="86" t="s">
        <v>355</v>
      </c>
      <c r="I9" s="385" t="s">
        <v>355</v>
      </c>
      <c r="J9" s="86" t="s">
        <v>355</v>
      </c>
      <c r="M9" s="19"/>
      <c r="N9" s="19"/>
      <c r="O9" s="19"/>
    </row>
    <row r="10" spans="2:15">
      <c r="B10" s="57" t="s">
        <v>35</v>
      </c>
      <c r="C10" s="57" t="s">
        <v>26</v>
      </c>
      <c r="D10" s="57" t="s">
        <v>24</v>
      </c>
      <c r="E10" s="57" t="s">
        <v>25</v>
      </c>
      <c r="F10" s="57" t="s">
        <v>112</v>
      </c>
      <c r="G10" s="394" t="s">
        <v>51</v>
      </c>
      <c r="H10" s="60" t="s">
        <v>56</v>
      </c>
      <c r="I10" s="27" t="s">
        <v>302</v>
      </c>
      <c r="J10" s="86" t="s">
        <v>136</v>
      </c>
      <c r="M10" s="19"/>
      <c r="N10" s="19"/>
      <c r="O10" s="19"/>
    </row>
    <row r="11" spans="2:15">
      <c r="B11" s="57" t="s">
        <v>41</v>
      </c>
      <c r="C11" s="57" t="s">
        <v>21</v>
      </c>
      <c r="D11" s="57" t="s">
        <v>27</v>
      </c>
      <c r="E11" s="57" t="s">
        <v>23</v>
      </c>
      <c r="F11" s="57" t="s">
        <v>113</v>
      </c>
      <c r="G11" s="394" t="s">
        <v>52</v>
      </c>
      <c r="H11" s="60" t="s">
        <v>57</v>
      </c>
      <c r="I11" s="27" t="s">
        <v>303</v>
      </c>
      <c r="J11" s="86" t="s">
        <v>137</v>
      </c>
      <c r="M11" s="19"/>
      <c r="N11" s="19"/>
      <c r="O11" s="19"/>
    </row>
    <row r="12" spans="2:15">
      <c r="B12" s="57" t="s">
        <v>42</v>
      </c>
      <c r="D12" s="57" t="s">
        <v>30</v>
      </c>
      <c r="E12" s="57" t="s">
        <v>31</v>
      </c>
      <c r="F12" s="57" t="s">
        <v>114</v>
      </c>
      <c r="G12" s="394" t="s">
        <v>53</v>
      </c>
      <c r="H12" s="60" t="s">
        <v>58</v>
      </c>
      <c r="I12" s="27" t="s">
        <v>304</v>
      </c>
      <c r="J12" s="86" t="s">
        <v>138</v>
      </c>
      <c r="M12" s="196"/>
      <c r="N12" s="19"/>
      <c r="O12" s="19"/>
    </row>
    <row r="13" spans="2:15">
      <c r="B13" s="57" t="s">
        <v>90</v>
      </c>
      <c r="D13" s="57" t="s">
        <v>32</v>
      </c>
      <c r="E13" s="58"/>
      <c r="F13" s="57" t="s">
        <v>115</v>
      </c>
      <c r="G13" s="394" t="s">
        <v>54</v>
      </c>
      <c r="H13" s="60" t="s">
        <v>59</v>
      </c>
      <c r="I13" s="27" t="s">
        <v>305</v>
      </c>
      <c r="J13" s="86" t="s">
        <v>139</v>
      </c>
      <c r="M13" s="196"/>
      <c r="N13" s="19"/>
      <c r="O13" s="19"/>
    </row>
    <row r="14" spans="2:15">
      <c r="B14" s="57" t="s">
        <v>91</v>
      </c>
      <c r="D14" s="57" t="s">
        <v>45</v>
      </c>
      <c r="F14" s="57" t="s">
        <v>126</v>
      </c>
      <c r="G14" s="394" t="s">
        <v>55</v>
      </c>
      <c r="H14" s="60" t="s">
        <v>60</v>
      </c>
      <c r="I14" s="27" t="s">
        <v>277</v>
      </c>
      <c r="J14" s="86" t="s">
        <v>140</v>
      </c>
      <c r="M14" s="196"/>
      <c r="N14" s="19"/>
      <c r="O14" s="19"/>
    </row>
    <row r="15" spans="2:15">
      <c r="D15" s="57" t="s">
        <v>46</v>
      </c>
      <c r="F15" s="57" t="s">
        <v>127</v>
      </c>
      <c r="H15" s="60" t="s">
        <v>61</v>
      </c>
      <c r="I15" s="27" t="s">
        <v>77</v>
      </c>
      <c r="J15" s="86" t="s">
        <v>141</v>
      </c>
      <c r="M15" s="196"/>
      <c r="N15" s="19"/>
      <c r="O15" s="19"/>
    </row>
    <row r="16" spans="2:15">
      <c r="D16" s="57" t="s">
        <v>47</v>
      </c>
      <c r="F16" s="57" t="s">
        <v>128</v>
      </c>
      <c r="H16" s="60" t="s">
        <v>62</v>
      </c>
      <c r="I16" s="27" t="s">
        <v>78</v>
      </c>
      <c r="J16" s="86" t="s">
        <v>142</v>
      </c>
      <c r="M16" s="196"/>
      <c r="N16" s="19"/>
      <c r="O16" s="19"/>
    </row>
    <row r="17" spans="2:15">
      <c r="D17" s="57" t="s">
        <v>48</v>
      </c>
      <c r="F17" s="57" t="s">
        <v>129</v>
      </c>
      <c r="H17" s="60" t="s">
        <v>63</v>
      </c>
      <c r="I17" s="27" t="s">
        <v>79</v>
      </c>
      <c r="J17" s="86" t="s">
        <v>143</v>
      </c>
      <c r="M17" s="196"/>
      <c r="N17" s="19"/>
      <c r="O17" s="19"/>
    </row>
    <row r="18" spans="2:15">
      <c r="D18" s="57" t="s">
        <v>22</v>
      </c>
      <c r="F18" s="57" t="s">
        <v>130</v>
      </c>
      <c r="H18" s="60" t="s">
        <v>64</v>
      </c>
      <c r="I18" s="27" t="s">
        <v>80</v>
      </c>
      <c r="J18" s="86" t="s">
        <v>144</v>
      </c>
      <c r="M18" s="196"/>
      <c r="N18" s="19"/>
      <c r="O18" s="19"/>
    </row>
    <row r="19" spans="2:15">
      <c r="D19" s="393" t="s">
        <v>351</v>
      </c>
      <c r="F19" s="57" t="s">
        <v>131</v>
      </c>
      <c r="H19" s="60" t="s">
        <v>65</v>
      </c>
      <c r="I19" s="27" t="s">
        <v>81</v>
      </c>
      <c r="J19" s="86" t="s">
        <v>145</v>
      </c>
      <c r="M19" s="196"/>
      <c r="N19" s="19"/>
      <c r="O19" s="19"/>
    </row>
    <row r="20" spans="2:15">
      <c r="D20" s="59"/>
      <c r="F20" s="57" t="s">
        <v>132</v>
      </c>
      <c r="H20" s="60" t="s">
        <v>268</v>
      </c>
      <c r="I20" s="27" t="s">
        <v>82</v>
      </c>
      <c r="J20" s="86" t="s">
        <v>146</v>
      </c>
      <c r="M20" s="19"/>
      <c r="N20" s="19"/>
      <c r="O20" s="19"/>
    </row>
    <row r="21" spans="2:15">
      <c r="D21" s="61"/>
      <c r="F21" s="57" t="s">
        <v>292</v>
      </c>
      <c r="H21" s="61"/>
      <c r="I21" s="27" t="s">
        <v>84</v>
      </c>
      <c r="J21" s="86" t="s">
        <v>147</v>
      </c>
      <c r="M21" s="19"/>
      <c r="N21" s="19"/>
      <c r="O21" s="19"/>
    </row>
    <row r="22" spans="2:15">
      <c r="H22" s="61"/>
      <c r="I22" s="27" t="s">
        <v>85</v>
      </c>
      <c r="J22" s="86" t="s">
        <v>148</v>
      </c>
      <c r="M22" s="19"/>
      <c r="N22" s="19"/>
      <c r="O22" s="19"/>
    </row>
    <row r="23" spans="2:15">
      <c r="I23" s="27" t="s">
        <v>83</v>
      </c>
      <c r="J23" s="86" t="s">
        <v>149</v>
      </c>
      <c r="M23" s="19"/>
      <c r="N23" s="19"/>
      <c r="O23" s="19"/>
    </row>
    <row r="24" spans="2:15">
      <c r="I24" s="27" t="s">
        <v>312</v>
      </c>
      <c r="J24" s="86" t="s">
        <v>150</v>
      </c>
      <c r="M24" s="19"/>
      <c r="N24" s="19"/>
      <c r="O24" s="19"/>
    </row>
    <row r="25" spans="2:15">
      <c r="I25" s="45"/>
      <c r="J25" s="86" t="s">
        <v>151</v>
      </c>
    </row>
    <row r="26" spans="2:15">
      <c r="I26" s="27" t="s">
        <v>315</v>
      </c>
      <c r="J26" s="86" t="s">
        <v>152</v>
      </c>
    </row>
    <row r="27" spans="2:15">
      <c r="I27" s="27" t="s">
        <v>311</v>
      </c>
      <c r="J27" s="86" t="s">
        <v>153</v>
      </c>
    </row>
    <row r="28" spans="2:15">
      <c r="I28" s="45" t="s">
        <v>413</v>
      </c>
      <c r="J28" s="86" t="s">
        <v>154</v>
      </c>
    </row>
    <row r="29" spans="2:15">
      <c r="I29" s="45" t="s">
        <v>414</v>
      </c>
      <c r="J29" s="86" t="s">
        <v>155</v>
      </c>
    </row>
    <row r="30" spans="2:15">
      <c r="I30" s="45" t="s">
        <v>415</v>
      </c>
      <c r="J30" s="86" t="s">
        <v>156</v>
      </c>
    </row>
    <row r="31" spans="2:15">
      <c r="B31" t="s">
        <v>410</v>
      </c>
      <c r="J31" s="86" t="s">
        <v>157</v>
      </c>
    </row>
    <row r="32" spans="2:15">
      <c r="B32" t="s">
        <v>409</v>
      </c>
      <c r="J32" s="86" t="s">
        <v>158</v>
      </c>
    </row>
    <row r="33" spans="10:10">
      <c r="J33" s="86" t="s">
        <v>159</v>
      </c>
    </row>
    <row r="34" spans="10:10">
      <c r="J34" s="86" t="s">
        <v>160</v>
      </c>
    </row>
    <row r="35" spans="10:10">
      <c r="J35" s="86" t="s">
        <v>161</v>
      </c>
    </row>
    <row r="36" spans="10:10">
      <c r="J36" s="86" t="s">
        <v>161</v>
      </c>
    </row>
    <row r="37" spans="10:10">
      <c r="J37" s="86" t="s">
        <v>162</v>
      </c>
    </row>
    <row r="38" spans="10:10">
      <c r="J38" s="86" t="s">
        <v>163</v>
      </c>
    </row>
    <row r="39" spans="10:10">
      <c r="J39" s="86" t="s">
        <v>164</v>
      </c>
    </row>
    <row r="40" spans="10:10">
      <c r="J40" s="86" t="s">
        <v>165</v>
      </c>
    </row>
    <row r="41" spans="10:10">
      <c r="J41" s="86" t="s">
        <v>166</v>
      </c>
    </row>
    <row r="42" spans="10:10">
      <c r="J42" s="86" t="s">
        <v>167</v>
      </c>
    </row>
    <row r="43" spans="10:10">
      <c r="J43" s="86" t="s">
        <v>168</v>
      </c>
    </row>
    <row r="44" spans="10:10">
      <c r="J44" s="86" t="s">
        <v>169</v>
      </c>
    </row>
    <row r="45" spans="10:10">
      <c r="J45" s="86" t="s">
        <v>170</v>
      </c>
    </row>
    <row r="46" spans="10:10">
      <c r="J46" s="86" t="s">
        <v>171</v>
      </c>
    </row>
    <row r="47" spans="10:10">
      <c r="J47" s="86" t="s">
        <v>172</v>
      </c>
    </row>
    <row r="48" spans="10:10">
      <c r="J48" s="86" t="s">
        <v>173</v>
      </c>
    </row>
    <row r="49" spans="10:10">
      <c r="J49" s="86" t="s">
        <v>174</v>
      </c>
    </row>
    <row r="50" spans="10:10">
      <c r="J50" s="86" t="s">
        <v>175</v>
      </c>
    </row>
    <row r="51" spans="10:10">
      <c r="J51" s="86" t="s">
        <v>176</v>
      </c>
    </row>
    <row r="52" spans="10:10">
      <c r="J52" s="86" t="s">
        <v>177</v>
      </c>
    </row>
    <row r="53" spans="10:10">
      <c r="J53" s="86" t="s">
        <v>178</v>
      </c>
    </row>
    <row r="54" spans="10:10">
      <c r="J54" s="86" t="s">
        <v>179</v>
      </c>
    </row>
    <row r="55" spans="10:10">
      <c r="J55" s="86" t="s">
        <v>180</v>
      </c>
    </row>
    <row r="56" spans="10:10">
      <c r="J56" s="86" t="s">
        <v>181</v>
      </c>
    </row>
    <row r="57" spans="10:10">
      <c r="J57" s="86" t="s">
        <v>182</v>
      </c>
    </row>
    <row r="58" spans="10:10">
      <c r="J58" s="86" t="s">
        <v>183</v>
      </c>
    </row>
    <row r="59" spans="10:10">
      <c r="J59" s="86" t="s">
        <v>184</v>
      </c>
    </row>
    <row r="60" spans="10:10">
      <c r="J60" s="86" t="s">
        <v>185</v>
      </c>
    </row>
    <row r="61" spans="10:10">
      <c r="J61" s="86" t="s">
        <v>186</v>
      </c>
    </row>
    <row r="62" spans="10:10">
      <c r="J62" s="86" t="s">
        <v>187</v>
      </c>
    </row>
    <row r="63" spans="10:10">
      <c r="J63" s="86" t="s">
        <v>188</v>
      </c>
    </row>
    <row r="64" spans="10:10">
      <c r="J64" s="86" t="s">
        <v>189</v>
      </c>
    </row>
    <row r="65" spans="10:10">
      <c r="J65" s="86" t="s">
        <v>190</v>
      </c>
    </row>
    <row r="66" spans="10:10">
      <c r="J66" s="86" t="s">
        <v>191</v>
      </c>
    </row>
    <row r="67" spans="10:10">
      <c r="J67" s="86" t="s">
        <v>192</v>
      </c>
    </row>
    <row r="68" spans="10:10">
      <c r="J68" s="86" t="s">
        <v>193</v>
      </c>
    </row>
    <row r="69" spans="10:10">
      <c r="J69" s="86" t="s">
        <v>194</v>
      </c>
    </row>
    <row r="70" spans="10:10">
      <c r="J70" s="86" t="s">
        <v>195</v>
      </c>
    </row>
    <row r="71" spans="10:10">
      <c r="J71" s="86" t="s">
        <v>196</v>
      </c>
    </row>
    <row r="72" spans="10:10">
      <c r="J72" s="86" t="s">
        <v>197</v>
      </c>
    </row>
    <row r="73" spans="10:10">
      <c r="J73" s="86" t="s">
        <v>198</v>
      </c>
    </row>
    <row r="74" spans="10:10">
      <c r="J74" s="86" t="s">
        <v>199</v>
      </c>
    </row>
    <row r="75" spans="10:10">
      <c r="J75" s="86" t="s">
        <v>200</v>
      </c>
    </row>
    <row r="76" spans="10:10">
      <c r="J76" s="86" t="s">
        <v>201</v>
      </c>
    </row>
    <row r="77" spans="10:10">
      <c r="J77" s="86" t="s">
        <v>202</v>
      </c>
    </row>
    <row r="78" spans="10:10">
      <c r="J78" s="86" t="s">
        <v>203</v>
      </c>
    </row>
    <row r="79" spans="10:10">
      <c r="J79" s="86" t="s">
        <v>204</v>
      </c>
    </row>
    <row r="80" spans="10:10">
      <c r="J80" s="86" t="s">
        <v>205</v>
      </c>
    </row>
    <row r="81" spans="10:10">
      <c r="J81" s="86" t="s">
        <v>206</v>
      </c>
    </row>
    <row r="82" spans="10:10">
      <c r="J82" s="86" t="s">
        <v>207</v>
      </c>
    </row>
    <row r="83" spans="10:10">
      <c r="J83" s="86" t="s">
        <v>208</v>
      </c>
    </row>
    <row r="84" spans="10:10">
      <c r="J84" s="86" t="s">
        <v>209</v>
      </c>
    </row>
    <row r="85" spans="10:10">
      <c r="J85" s="86" t="s">
        <v>210</v>
      </c>
    </row>
    <row r="86" spans="10:10">
      <c r="J86" s="86" t="s">
        <v>211</v>
      </c>
    </row>
    <row r="87" spans="10:10">
      <c r="J87" s="86" t="s">
        <v>212</v>
      </c>
    </row>
    <row r="88" spans="10:10">
      <c r="J88" s="86" t="s">
        <v>213</v>
      </c>
    </row>
    <row r="89" spans="10:10">
      <c r="J89" s="86" t="s">
        <v>214</v>
      </c>
    </row>
    <row r="90" spans="10:10">
      <c r="J90" s="86" t="s">
        <v>215</v>
      </c>
    </row>
    <row r="91" spans="10:10">
      <c r="J91" s="86" t="s">
        <v>216</v>
      </c>
    </row>
    <row r="92" spans="10:10">
      <c r="J92" s="86" t="s">
        <v>217</v>
      </c>
    </row>
    <row r="93" spans="10:10">
      <c r="J93" s="86" t="s">
        <v>218</v>
      </c>
    </row>
    <row r="94" spans="10:10">
      <c r="J94" s="86" t="s">
        <v>219</v>
      </c>
    </row>
    <row r="95" spans="10:10">
      <c r="J95" s="86" t="s">
        <v>220</v>
      </c>
    </row>
    <row r="96" spans="10:10">
      <c r="J96" s="86" t="s">
        <v>221</v>
      </c>
    </row>
    <row r="97" spans="10:10">
      <c r="J97" s="86" t="s">
        <v>222</v>
      </c>
    </row>
    <row r="98" spans="10:10">
      <c r="J98" s="86" t="s">
        <v>223</v>
      </c>
    </row>
    <row r="99" spans="10:10">
      <c r="J99" s="86" t="s">
        <v>224</v>
      </c>
    </row>
    <row r="100" spans="10:10">
      <c r="J100" s="86" t="s">
        <v>225</v>
      </c>
    </row>
    <row r="101" spans="10:10">
      <c r="J101" s="86" t="s">
        <v>226</v>
      </c>
    </row>
    <row r="102" spans="10:10">
      <c r="J102" s="86" t="s">
        <v>227</v>
      </c>
    </row>
    <row r="103" spans="10:10">
      <c r="J103" s="86" t="s">
        <v>228</v>
      </c>
    </row>
    <row r="104" spans="10:10">
      <c r="J104" s="86" t="s">
        <v>229</v>
      </c>
    </row>
    <row r="105" spans="10:10">
      <c r="J105" s="86" t="s">
        <v>230</v>
      </c>
    </row>
    <row r="106" spans="10:10">
      <c r="J106" s="86" t="s">
        <v>231</v>
      </c>
    </row>
    <row r="107" spans="10:10">
      <c r="J107" s="86" t="s">
        <v>232</v>
      </c>
    </row>
    <row r="108" spans="10:10">
      <c r="J108" s="86" t="s">
        <v>233</v>
      </c>
    </row>
    <row r="109" spans="10:10">
      <c r="J109" s="86" t="s">
        <v>234</v>
      </c>
    </row>
    <row r="110" spans="10:10">
      <c r="J110" s="86" t="s">
        <v>235</v>
      </c>
    </row>
    <row r="111" spans="10:10">
      <c r="J111" s="86" t="s">
        <v>87</v>
      </c>
    </row>
    <row r="112" spans="10:10">
      <c r="J112" s="86" t="s">
        <v>236</v>
      </c>
    </row>
    <row r="113" spans="10:10">
      <c r="J113" s="86" t="s">
        <v>237</v>
      </c>
    </row>
    <row r="114" spans="10:10">
      <c r="J114" s="86" t="s">
        <v>238</v>
      </c>
    </row>
    <row r="115" spans="10:10">
      <c r="J115" s="86" t="s">
        <v>239</v>
      </c>
    </row>
    <row r="116" spans="10:10">
      <c r="J116" s="86" t="s">
        <v>240</v>
      </c>
    </row>
    <row r="117" spans="10:10">
      <c r="J117" s="86" t="s">
        <v>241</v>
      </c>
    </row>
    <row r="118" spans="10:10">
      <c r="J118" s="86" t="s">
        <v>242</v>
      </c>
    </row>
    <row r="119" spans="10:10">
      <c r="J119" s="86" t="s">
        <v>243</v>
      </c>
    </row>
    <row r="120" spans="10:10">
      <c r="J120" s="86" t="s">
        <v>244</v>
      </c>
    </row>
    <row r="121" spans="10:10">
      <c r="J121" s="86" t="s">
        <v>245</v>
      </c>
    </row>
    <row r="122" spans="10:10">
      <c r="J122" s="86" t="s">
        <v>246</v>
      </c>
    </row>
    <row r="123" spans="10:10">
      <c r="J123" s="86" t="s">
        <v>247</v>
      </c>
    </row>
    <row r="124" spans="10:10">
      <c r="J124" s="86" t="s">
        <v>248</v>
      </c>
    </row>
    <row r="125" spans="10:10">
      <c r="J125" s="86" t="s">
        <v>249</v>
      </c>
    </row>
    <row r="126" spans="10:10">
      <c r="J126" s="86" t="s">
        <v>250</v>
      </c>
    </row>
    <row r="127" spans="10:10">
      <c r="J127" s="86" t="s">
        <v>251</v>
      </c>
    </row>
    <row r="128" spans="10:10">
      <c r="J128" s="86" t="s">
        <v>252</v>
      </c>
    </row>
    <row r="129" spans="10:10">
      <c r="J129" s="86" t="s">
        <v>253</v>
      </c>
    </row>
    <row r="130" spans="10:10">
      <c r="J130" s="86" t="s">
        <v>254</v>
      </c>
    </row>
    <row r="131" spans="10:10">
      <c r="J131" s="86" t="s">
        <v>255</v>
      </c>
    </row>
    <row r="132" spans="10:10">
      <c r="J132" s="86" t="s">
        <v>256</v>
      </c>
    </row>
    <row r="133" spans="10:10">
      <c r="J133" s="86" t="s">
        <v>257</v>
      </c>
    </row>
    <row r="134" spans="10:10">
      <c r="J134" s="86" t="s">
        <v>258</v>
      </c>
    </row>
    <row r="135" spans="10:10">
      <c r="J135" s="86" t="s">
        <v>259</v>
      </c>
    </row>
    <row r="136" spans="10:10">
      <c r="J136" s="86" t="s">
        <v>260</v>
      </c>
    </row>
    <row r="137" spans="10:10">
      <c r="J137" s="86" t="s">
        <v>261</v>
      </c>
    </row>
    <row r="138" spans="10:10">
      <c r="J138" s="86" t="s">
        <v>262</v>
      </c>
    </row>
    <row r="139" spans="10:10">
      <c r="J139" s="86" t="s">
        <v>263</v>
      </c>
    </row>
    <row r="140" spans="10:10">
      <c r="J140" s="86" t="s">
        <v>264</v>
      </c>
    </row>
    <row r="141" spans="10:10">
      <c r="J141" s="86" t="s">
        <v>265</v>
      </c>
    </row>
    <row r="142" spans="10:10">
      <c r="J142" s="86" t="s">
        <v>266</v>
      </c>
    </row>
    <row r="143" spans="10:10">
      <c r="J143" s="86" t="s">
        <v>267</v>
      </c>
    </row>
    <row r="144" spans="10:10">
      <c r="J144" s="383"/>
    </row>
  </sheetData>
  <mergeCells count="2">
    <mergeCell ref="B3:H3"/>
    <mergeCell ref="B6:H6"/>
  </mergeCells>
  <phoneticPr fontId="31"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1"/>
  <sheetViews>
    <sheetView showGridLines="0" workbookViewId="0">
      <pane ySplit="2" topLeftCell="A33" activePane="bottomLeft" state="frozen"/>
      <selection activeCell="E22" sqref="E22"/>
      <selection pane="bottomLeft" activeCell="E10" sqref="E10:I10"/>
    </sheetView>
  </sheetViews>
  <sheetFormatPr defaultColWidth="11" defaultRowHeight="15"/>
  <cols>
    <col min="1" max="1" width="1.28515625" customWidth="1"/>
    <col min="2" max="2" width="7.140625" customWidth="1"/>
    <col min="3" max="3" width="8.85546875" customWidth="1"/>
    <col min="4" max="4" width="7" customWidth="1"/>
    <col min="5" max="5" width="16.42578125" customWidth="1"/>
    <col min="6" max="6" width="10.85546875" customWidth="1"/>
    <col min="7" max="7" width="15.42578125" customWidth="1"/>
    <col min="8" max="8" width="11.85546875" customWidth="1"/>
    <col min="9" max="9" width="11.140625" customWidth="1"/>
    <col min="10" max="10" width="14.140625" customWidth="1"/>
    <col min="11" max="11" width="7.7109375" customWidth="1"/>
    <col min="12" max="12" width="8.85546875" customWidth="1"/>
    <col min="13" max="13" width="16.85546875" customWidth="1"/>
    <col min="14" max="14" width="2.42578125" style="36" customWidth="1"/>
    <col min="15" max="15" width="13.28515625" style="36" customWidth="1"/>
    <col min="16" max="16" width="2.42578125" customWidth="1"/>
    <col min="17" max="17" width="8.710937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27" customHeight="1">
      <c r="A1" s="3"/>
      <c r="B1" s="3"/>
      <c r="C1" s="3"/>
      <c r="D1" s="3"/>
      <c r="E1" s="3"/>
      <c r="F1" s="3"/>
      <c r="G1" s="3"/>
      <c r="H1" s="3"/>
      <c r="I1" s="3"/>
      <c r="J1" s="3"/>
      <c r="K1" s="3"/>
      <c r="L1" s="3"/>
      <c r="M1" s="3"/>
    </row>
    <row r="2" spans="1:15" ht="23.25" customHeight="1">
      <c r="A2" s="3"/>
      <c r="B2" s="615" t="str">
        <f>'Grant Detail'!B3:J3</f>
        <v>Dashboard:  Ghana - MALARIA  (AngloGold Asanti (Ghana) Malaria Ltd)</v>
      </c>
      <c r="C2" s="615"/>
      <c r="D2" s="615"/>
      <c r="E2" s="615"/>
      <c r="F2" s="615"/>
      <c r="G2" s="615"/>
      <c r="H2" s="615"/>
      <c r="I2" s="615"/>
      <c r="J2" s="615"/>
      <c r="K2" s="615"/>
      <c r="L2" s="615"/>
      <c r="M2" s="615"/>
    </row>
    <row r="3" spans="1:15" ht="15.75" customHeight="1">
      <c r="A3" s="3"/>
      <c r="B3" s="221"/>
      <c r="C3" s="221"/>
      <c r="D3" s="221"/>
      <c r="E3" s="221"/>
      <c r="F3" s="221"/>
      <c r="G3" s="221"/>
      <c r="H3" s="221"/>
      <c r="I3" s="221"/>
      <c r="J3" s="221"/>
      <c r="K3" s="222"/>
      <c r="L3" s="222"/>
      <c r="M3" s="3"/>
    </row>
    <row r="4" spans="1:15" ht="21">
      <c r="G4" s="442" t="s">
        <v>95</v>
      </c>
    </row>
    <row r="5" spans="1:15">
      <c r="B5" s="585" t="s">
        <v>288</v>
      </c>
      <c r="C5" s="585"/>
      <c r="D5" s="585"/>
      <c r="E5" s="585"/>
      <c r="F5" s="585"/>
      <c r="G5" s="585"/>
      <c r="H5" s="585"/>
      <c r="I5" s="585"/>
      <c r="J5" s="585"/>
      <c r="K5" s="585"/>
      <c r="L5" s="585"/>
      <c r="M5" s="585"/>
      <c r="N5" s="585"/>
      <c r="O5" s="585"/>
    </row>
    <row r="7" spans="1:15">
      <c r="B7" s="616" t="s">
        <v>278</v>
      </c>
      <c r="C7" s="617"/>
      <c r="D7" s="618"/>
      <c r="E7" s="616" t="s">
        <v>279</v>
      </c>
      <c r="F7" s="617"/>
      <c r="G7" s="617"/>
      <c r="H7" s="617"/>
      <c r="I7" s="618"/>
      <c r="J7" s="616" t="s">
        <v>280</v>
      </c>
      <c r="K7" s="617"/>
      <c r="L7" s="618"/>
      <c r="M7" s="616" t="s">
        <v>336</v>
      </c>
      <c r="N7" s="617"/>
      <c r="O7" s="618"/>
    </row>
    <row r="8" spans="1:15" ht="92.25" customHeight="1">
      <c r="B8" s="557" t="str">
        <f>+'Data Entry'!B27</f>
        <v>F1: Budget and disbursements by Global Fund</v>
      </c>
      <c r="C8" s="622"/>
      <c r="D8" s="623"/>
      <c r="E8" s="619" t="s">
        <v>385</v>
      </c>
      <c r="F8" s="620"/>
      <c r="G8" s="620"/>
      <c r="H8" s="620"/>
      <c r="I8" s="621"/>
      <c r="J8" s="561" t="s">
        <v>337</v>
      </c>
      <c r="K8" s="565"/>
      <c r="L8" s="566"/>
      <c r="M8" s="561" t="s">
        <v>374</v>
      </c>
      <c r="N8" s="565"/>
      <c r="O8" s="566"/>
    </row>
    <row r="9" spans="1:15" ht="117.75" customHeight="1">
      <c r="B9" s="557" t="str">
        <f>+'Data Entry'!B36</f>
        <v>F2: Budget and actual expenditures by category</v>
      </c>
      <c r="C9" s="622"/>
      <c r="D9" s="623"/>
      <c r="E9" s="560" t="s">
        <v>3</v>
      </c>
      <c r="F9" s="558"/>
      <c r="G9" s="558"/>
      <c r="H9" s="558"/>
      <c r="I9" s="559"/>
      <c r="J9" s="561" t="s">
        <v>339</v>
      </c>
      <c r="K9" s="565"/>
      <c r="L9" s="566"/>
      <c r="M9" s="561" t="s">
        <v>374</v>
      </c>
      <c r="N9" s="565"/>
      <c r="O9" s="566"/>
    </row>
    <row r="10" spans="1:15" ht="253.5" customHeight="1">
      <c r="B10" s="573" t="str">
        <f>+'Data Entry'!B53</f>
        <v>F3: Disbursements and expenditures</v>
      </c>
      <c r="C10" s="630"/>
      <c r="D10" s="631"/>
      <c r="E10" s="603" t="s">
        <v>2</v>
      </c>
      <c r="F10" s="574"/>
      <c r="G10" s="574"/>
      <c r="H10" s="574"/>
      <c r="I10" s="575"/>
      <c r="J10" s="604" t="s">
        <v>386</v>
      </c>
      <c r="K10" s="605"/>
      <c r="L10" s="606"/>
      <c r="M10" s="604" t="s">
        <v>338</v>
      </c>
      <c r="N10" s="605"/>
      <c r="O10" s="606"/>
    </row>
    <row r="11" spans="1:15" ht="68.25" customHeight="1">
      <c r="B11" s="439"/>
      <c r="C11" s="440"/>
      <c r="D11" s="441"/>
      <c r="E11" s="636" t="s">
        <v>1</v>
      </c>
      <c r="F11" s="637"/>
      <c r="G11" s="637"/>
      <c r="H11" s="637"/>
      <c r="I11" s="638"/>
      <c r="J11" s="418"/>
      <c r="K11" s="419"/>
      <c r="L11" s="420"/>
      <c r="M11" s="418"/>
      <c r="N11" s="419"/>
      <c r="O11" s="420"/>
    </row>
    <row r="12" spans="1:15" ht="236.25" customHeight="1">
      <c r="B12" s="573" t="str">
        <f>+'Data Entry'!B62</f>
        <v>F4: Latest PR reporting and disbursement cycle</v>
      </c>
      <c r="C12" s="574"/>
      <c r="D12" s="575"/>
      <c r="E12" s="603" t="s">
        <v>4</v>
      </c>
      <c r="F12" s="574"/>
      <c r="G12" s="574"/>
      <c r="H12" s="574"/>
      <c r="I12" s="575"/>
      <c r="J12" s="604" t="s">
        <v>387</v>
      </c>
      <c r="K12" s="605"/>
      <c r="L12" s="606"/>
      <c r="M12" s="604" t="s">
        <v>283</v>
      </c>
      <c r="N12" s="605"/>
      <c r="O12" s="606"/>
    </row>
    <row r="13" spans="1:15" s="19" customFormat="1" ht="114" customHeight="1">
      <c r="B13" s="632"/>
      <c r="C13" s="632"/>
      <c r="D13" s="632"/>
      <c r="E13" s="634" t="s">
        <v>0</v>
      </c>
      <c r="F13" s="635"/>
      <c r="G13" s="635"/>
      <c r="H13" s="635"/>
      <c r="I13" s="635"/>
      <c r="J13" s="633"/>
      <c r="K13" s="633"/>
      <c r="L13" s="633"/>
      <c r="M13" s="633"/>
      <c r="N13" s="633"/>
      <c r="O13" s="633"/>
    </row>
    <row r="14" spans="1:15" s="19" customFormat="1">
      <c r="B14" s="627"/>
      <c r="C14" s="627"/>
      <c r="D14" s="627"/>
      <c r="E14" s="628"/>
      <c r="F14" s="628"/>
      <c r="G14" s="628"/>
      <c r="H14" s="628"/>
      <c r="I14" s="628"/>
      <c r="J14" s="628"/>
      <c r="K14" s="628"/>
      <c r="L14" s="628"/>
      <c r="M14" s="628"/>
      <c r="N14" s="628"/>
      <c r="O14" s="628"/>
    </row>
    <row r="15" spans="1:15" s="19" customFormat="1">
      <c r="B15" s="627"/>
      <c r="C15" s="627"/>
      <c r="D15" s="627"/>
      <c r="E15" s="629"/>
      <c r="F15" s="629"/>
      <c r="G15" s="629"/>
      <c r="H15" s="629"/>
      <c r="I15" s="629"/>
      <c r="J15" s="628"/>
      <c r="K15" s="628"/>
      <c r="L15" s="628"/>
      <c r="M15" s="628"/>
      <c r="N15" s="628"/>
      <c r="O15" s="628"/>
    </row>
    <row r="16" spans="1:15" s="19" customFormat="1">
      <c r="B16" s="627"/>
      <c r="C16" s="627"/>
      <c r="D16" s="627"/>
      <c r="E16" s="629"/>
      <c r="F16" s="629"/>
      <c r="G16" s="629"/>
      <c r="H16" s="629"/>
      <c r="I16" s="629"/>
      <c r="J16" s="628"/>
      <c r="K16" s="628"/>
      <c r="L16" s="628"/>
      <c r="M16" s="628"/>
      <c r="N16" s="628"/>
      <c r="O16" s="628"/>
    </row>
    <row r="17" spans="2:15">
      <c r="B17" s="585" t="s">
        <v>289</v>
      </c>
      <c r="C17" s="585"/>
      <c r="D17" s="585"/>
      <c r="E17" s="585"/>
      <c r="F17" s="585"/>
      <c r="G17" s="585"/>
      <c r="H17" s="585"/>
      <c r="I17" s="585"/>
      <c r="J17" s="585"/>
      <c r="K17" s="585"/>
      <c r="L17" s="585"/>
      <c r="M17" s="585"/>
      <c r="N17" s="585"/>
      <c r="O17" s="585"/>
    </row>
    <row r="18" spans="2:15">
      <c r="B18" s="416"/>
      <c r="C18" s="416"/>
      <c r="D18" s="416"/>
      <c r="E18" s="416"/>
      <c r="F18" s="416"/>
      <c r="G18" s="416"/>
      <c r="H18" s="416"/>
      <c r="I18" s="416"/>
      <c r="J18" s="416"/>
      <c r="K18" s="416"/>
      <c r="L18" s="416"/>
      <c r="M18" s="416"/>
      <c r="N18" s="417"/>
      <c r="O18" s="417"/>
    </row>
    <row r="19" spans="2:15">
      <c r="B19" s="624" t="s">
        <v>5</v>
      </c>
      <c r="C19" s="625"/>
      <c r="D19" s="626"/>
      <c r="E19" s="624" t="s">
        <v>279</v>
      </c>
      <c r="F19" s="625"/>
      <c r="G19" s="625"/>
      <c r="H19" s="625"/>
      <c r="I19" s="626"/>
      <c r="J19" s="624" t="s">
        <v>280</v>
      </c>
      <c r="K19" s="625"/>
      <c r="L19" s="626"/>
      <c r="M19" s="624" t="s">
        <v>281</v>
      </c>
      <c r="N19" s="625"/>
      <c r="O19" s="626"/>
    </row>
    <row r="20" spans="2:15" ht="114" customHeight="1">
      <c r="B20" s="557" t="str">
        <f>+'Data Entry'!B73</f>
        <v>M1: Status of Conditions Precedent (CPs) and Time Bound Actions (TBAs)</v>
      </c>
      <c r="C20" s="558"/>
      <c r="D20" s="559"/>
      <c r="E20" s="560" t="s">
        <v>388</v>
      </c>
      <c r="F20" s="558"/>
      <c r="G20" s="558"/>
      <c r="H20" s="558"/>
      <c r="I20" s="559"/>
      <c r="J20" s="561" t="s">
        <v>340</v>
      </c>
      <c r="K20" s="565"/>
      <c r="L20" s="566"/>
      <c r="M20" s="561" t="s">
        <v>341</v>
      </c>
      <c r="N20" s="565"/>
      <c r="O20" s="566"/>
    </row>
    <row r="21" spans="2:15" ht="102.75" customHeight="1">
      <c r="B21" s="557" t="str">
        <f>+'Data Entry'!B80</f>
        <v>M2: Status of key PR management positions</v>
      </c>
      <c r="C21" s="558"/>
      <c r="D21" s="559"/>
      <c r="E21" s="560" t="s">
        <v>389</v>
      </c>
      <c r="F21" s="558"/>
      <c r="G21" s="558"/>
      <c r="H21" s="558"/>
      <c r="I21" s="559"/>
      <c r="J21" s="561" t="s">
        <v>285</v>
      </c>
      <c r="K21" s="565"/>
      <c r="L21" s="566"/>
      <c r="M21" s="561" t="s">
        <v>284</v>
      </c>
      <c r="N21" s="565"/>
      <c r="O21" s="566"/>
    </row>
    <row r="22" spans="2:15" ht="192.75" customHeight="1">
      <c r="B22" s="557" t="str">
        <f>+'Data Entry'!B85</f>
        <v xml:space="preserve">M3: Contractual arrangements (SRs) </v>
      </c>
      <c r="C22" s="558"/>
      <c r="D22" s="559"/>
      <c r="E22" s="561" t="s">
        <v>390</v>
      </c>
      <c r="F22" s="558"/>
      <c r="G22" s="558"/>
      <c r="H22" s="558"/>
      <c r="I22" s="559"/>
      <c r="J22" s="561" t="s">
        <v>342</v>
      </c>
      <c r="K22" s="565"/>
      <c r="L22" s="566"/>
      <c r="M22" s="561" t="s">
        <v>343</v>
      </c>
      <c r="N22" s="565"/>
      <c r="O22" s="566"/>
    </row>
    <row r="23" spans="2:15" ht="78" customHeight="1">
      <c r="B23" s="557" t="str">
        <f>+'Data Entry'!B90</f>
        <v>M4: Number of complete reports received on time, this reporting period</v>
      </c>
      <c r="C23" s="558"/>
      <c r="D23" s="559"/>
      <c r="E23" s="561" t="s">
        <v>383</v>
      </c>
      <c r="F23" s="565"/>
      <c r="G23" s="565"/>
      <c r="H23" s="565"/>
      <c r="I23" s="566"/>
      <c r="J23" s="561" t="s">
        <v>391</v>
      </c>
      <c r="K23" s="565"/>
      <c r="L23" s="566"/>
      <c r="M23" s="561" t="s">
        <v>286</v>
      </c>
      <c r="N23" s="565"/>
      <c r="O23" s="566"/>
    </row>
    <row r="24" spans="2:15" ht="214.5" customHeight="1">
      <c r="B24" s="573" t="str">
        <f>+'Data Entry'!B96</f>
        <v>M5: Budget and Procurement of health products, health equipment, medicines and pharmaceuticals</v>
      </c>
      <c r="C24" s="574"/>
      <c r="D24" s="575"/>
      <c r="E24" s="576" t="s">
        <v>392</v>
      </c>
      <c r="F24" s="577"/>
      <c r="G24" s="577"/>
      <c r="H24" s="577"/>
      <c r="I24" s="578"/>
      <c r="J24" s="604" t="s">
        <v>282</v>
      </c>
      <c r="K24" s="605"/>
      <c r="L24" s="606"/>
      <c r="M24" s="604" t="s">
        <v>287</v>
      </c>
      <c r="N24" s="605"/>
      <c r="O24" s="606"/>
    </row>
    <row r="25" spans="2:15" ht="91.5" customHeight="1">
      <c r="B25" s="570"/>
      <c r="C25" s="571"/>
      <c r="D25" s="572"/>
      <c r="E25" s="570" t="s">
        <v>393</v>
      </c>
      <c r="F25" s="571"/>
      <c r="G25" s="571"/>
      <c r="H25" s="571"/>
      <c r="I25" s="572"/>
      <c r="J25" s="607"/>
      <c r="K25" s="608"/>
      <c r="L25" s="609"/>
      <c r="M25" s="607"/>
      <c r="N25" s="608"/>
      <c r="O25" s="609"/>
    </row>
    <row r="26" spans="2:15" ht="409.5" customHeight="1">
      <c r="B26" s="557" t="str">
        <f>+'Data Entry'!B109</f>
        <v>M6: Difference between current and safety stock</v>
      </c>
      <c r="C26" s="558"/>
      <c r="D26" s="559"/>
      <c r="E26" s="562" t="s">
        <v>394</v>
      </c>
      <c r="F26" s="563"/>
      <c r="G26" s="563"/>
      <c r="H26" s="563"/>
      <c r="I26" s="564"/>
      <c r="J26" s="610" t="s">
        <v>344</v>
      </c>
      <c r="K26" s="613"/>
      <c r="L26" s="614"/>
      <c r="M26" s="610" t="s">
        <v>349</v>
      </c>
      <c r="N26" s="611"/>
      <c r="O26" s="612"/>
    </row>
    <row r="27" spans="2:15">
      <c r="B27" s="421"/>
      <c r="C27" s="421"/>
      <c r="D27" s="421"/>
      <c r="E27" s="421"/>
      <c r="F27" s="421"/>
      <c r="G27" s="421"/>
      <c r="H27" s="421"/>
      <c r="I27" s="421"/>
      <c r="J27" s="421"/>
      <c r="K27" s="421"/>
      <c r="L27" s="421"/>
      <c r="M27" s="421"/>
      <c r="N27" s="422"/>
      <c r="O27" s="422"/>
    </row>
    <row r="28" spans="2:15">
      <c r="B28" s="421"/>
      <c r="C28" s="421"/>
      <c r="D28" s="421"/>
      <c r="E28" s="421"/>
      <c r="F28" s="421"/>
      <c r="G28" s="421"/>
      <c r="H28" s="421"/>
      <c r="I28" s="421"/>
      <c r="J28" s="421"/>
      <c r="K28" s="421"/>
      <c r="L28" s="421"/>
      <c r="M28" s="421"/>
      <c r="N28" s="422"/>
      <c r="O28" s="422"/>
    </row>
    <row r="29" spans="2:15">
      <c r="B29" s="421"/>
      <c r="C29" s="421"/>
      <c r="D29" s="421"/>
      <c r="E29" s="421"/>
      <c r="F29" s="421"/>
      <c r="G29" s="421"/>
      <c r="H29" s="421"/>
      <c r="I29" s="421"/>
      <c r="J29" s="421"/>
      <c r="K29" s="421"/>
      <c r="L29" s="421"/>
      <c r="M29" s="421"/>
      <c r="N29" s="422"/>
      <c r="O29" s="422"/>
    </row>
    <row r="30" spans="2:15">
      <c r="B30" s="423"/>
      <c r="C30" s="421"/>
      <c r="D30" s="421"/>
      <c r="E30" s="421"/>
      <c r="F30" s="421"/>
      <c r="G30" s="421"/>
      <c r="H30" s="421"/>
      <c r="I30" s="421"/>
      <c r="J30" s="421"/>
      <c r="K30" s="421"/>
      <c r="L30" s="421"/>
      <c r="M30" s="421"/>
      <c r="N30" s="422"/>
      <c r="O30" s="422"/>
    </row>
    <row r="31" spans="2:15">
      <c r="B31" s="585" t="s">
        <v>300</v>
      </c>
      <c r="C31" s="585"/>
      <c r="D31" s="585"/>
      <c r="E31" s="585"/>
      <c r="F31" s="585"/>
      <c r="G31" s="585"/>
      <c r="H31" s="585"/>
      <c r="I31" s="585"/>
      <c r="J31" s="585"/>
      <c r="K31" s="585"/>
      <c r="L31" s="585"/>
      <c r="M31" s="585"/>
      <c r="N31" s="585"/>
      <c r="O31" s="585"/>
    </row>
    <row r="32" spans="2:15">
      <c r="B32" s="421"/>
      <c r="C32" s="421"/>
      <c r="D32" s="421"/>
      <c r="E32" s="421"/>
      <c r="F32" s="421"/>
      <c r="G32" s="421"/>
      <c r="H32" s="421"/>
      <c r="I32" s="421"/>
      <c r="J32" s="421"/>
      <c r="K32" s="421"/>
      <c r="L32" s="421"/>
      <c r="M32" s="421"/>
      <c r="N32" s="422"/>
      <c r="O32" s="422"/>
    </row>
    <row r="33" spans="1:15" ht="28.5" customHeight="1">
      <c r="A33" s="242"/>
      <c r="B33" s="586" t="s">
        <v>334</v>
      </c>
      <c r="C33" s="587"/>
      <c r="D33" s="588"/>
      <c r="E33" s="589" t="s">
        <v>474</v>
      </c>
      <c r="F33" s="587"/>
      <c r="G33" s="587"/>
      <c r="H33" s="587"/>
      <c r="I33" s="588"/>
      <c r="J33" s="590" t="s">
        <v>280</v>
      </c>
      <c r="K33" s="587"/>
      <c r="L33" s="588"/>
      <c r="M33" s="590" t="s">
        <v>281</v>
      </c>
      <c r="N33" s="587"/>
      <c r="O33" s="588"/>
    </row>
    <row r="34" spans="1:15" ht="69.95" customHeight="1">
      <c r="A34" s="243"/>
      <c r="B34" s="554" t="s">
        <v>448</v>
      </c>
      <c r="C34" s="555"/>
      <c r="D34" s="556"/>
      <c r="E34" s="579" t="s">
        <v>459</v>
      </c>
      <c r="F34" s="580"/>
      <c r="G34" s="580"/>
      <c r="H34" s="580"/>
      <c r="I34" s="581"/>
      <c r="J34" s="549" t="s">
        <v>458</v>
      </c>
      <c r="K34" s="552"/>
      <c r="L34" s="553"/>
      <c r="M34" s="549" t="s">
        <v>457</v>
      </c>
      <c r="N34" s="552"/>
      <c r="O34" s="553"/>
    </row>
    <row r="35" spans="1:15" ht="59.25" customHeight="1">
      <c r="A35" s="243"/>
      <c r="B35" s="554" t="s">
        <v>449</v>
      </c>
      <c r="C35" s="555"/>
      <c r="D35" s="556"/>
      <c r="E35" s="567" t="s">
        <v>461</v>
      </c>
      <c r="F35" s="568"/>
      <c r="G35" s="568"/>
      <c r="H35" s="568"/>
      <c r="I35" s="569"/>
      <c r="J35" s="549" t="s">
        <v>460</v>
      </c>
      <c r="K35" s="552"/>
      <c r="L35" s="553"/>
      <c r="M35" s="549" t="s">
        <v>465</v>
      </c>
      <c r="N35" s="552"/>
      <c r="O35" s="553"/>
    </row>
    <row r="36" spans="1:15" ht="66" customHeight="1">
      <c r="A36" s="243"/>
      <c r="B36" s="554" t="s">
        <v>455</v>
      </c>
      <c r="C36" s="555"/>
      <c r="D36" s="556"/>
      <c r="E36" s="549" t="s">
        <v>462</v>
      </c>
      <c r="F36" s="552"/>
      <c r="G36" s="552"/>
      <c r="H36" s="552"/>
      <c r="I36" s="553"/>
      <c r="J36" s="549" t="s">
        <v>463</v>
      </c>
      <c r="K36" s="552"/>
      <c r="L36" s="553"/>
      <c r="M36" s="549" t="s">
        <v>464</v>
      </c>
      <c r="N36" s="552"/>
      <c r="O36" s="553"/>
    </row>
    <row r="37" spans="1:15" ht="9.75" customHeight="1">
      <c r="A37" s="243"/>
      <c r="B37" s="546"/>
      <c r="C37" s="547"/>
      <c r="D37" s="548"/>
      <c r="E37" s="427"/>
      <c r="F37" s="428"/>
      <c r="G37" s="428"/>
      <c r="H37" s="428"/>
      <c r="I37" s="429"/>
      <c r="J37" s="430"/>
      <c r="K37" s="431"/>
      <c r="L37" s="432"/>
      <c r="M37" s="430"/>
      <c r="N37" s="431"/>
      <c r="O37" s="432"/>
    </row>
    <row r="38" spans="1:15" ht="69" customHeight="1">
      <c r="A38" s="243"/>
      <c r="B38" s="554" t="s">
        <v>454</v>
      </c>
      <c r="C38" s="555"/>
      <c r="D38" s="556"/>
      <c r="E38" s="549" t="s">
        <v>453</v>
      </c>
      <c r="F38" s="550"/>
      <c r="G38" s="550"/>
      <c r="H38" s="550"/>
      <c r="I38" s="551"/>
      <c r="J38" s="549" t="s">
        <v>467</v>
      </c>
      <c r="K38" s="552"/>
      <c r="L38" s="553"/>
      <c r="M38" s="549" t="s">
        <v>466</v>
      </c>
      <c r="N38" s="552"/>
      <c r="O38" s="553"/>
    </row>
    <row r="39" spans="1:15" ht="102" customHeight="1">
      <c r="A39" s="243"/>
      <c r="B39" s="554" t="s">
        <v>456</v>
      </c>
      <c r="C39" s="555"/>
      <c r="D39" s="556"/>
      <c r="E39" s="579" t="s">
        <v>468</v>
      </c>
      <c r="F39" s="580"/>
      <c r="G39" s="580"/>
      <c r="H39" s="580"/>
      <c r="I39" s="581"/>
      <c r="J39" s="549" t="s">
        <v>470</v>
      </c>
      <c r="K39" s="552"/>
      <c r="L39" s="553"/>
      <c r="M39" s="549" t="s">
        <v>469</v>
      </c>
      <c r="N39" s="552"/>
      <c r="O39" s="553"/>
    </row>
    <row r="40" spans="1:15" ht="64.5" customHeight="1">
      <c r="A40" s="243"/>
      <c r="B40" s="554" t="s">
        <v>451</v>
      </c>
      <c r="C40" s="555"/>
      <c r="D40" s="556"/>
      <c r="E40" s="549" t="s">
        <v>473</v>
      </c>
      <c r="F40" s="552"/>
      <c r="G40" s="552"/>
      <c r="H40" s="552"/>
      <c r="I40" s="553"/>
      <c r="J40" s="549" t="s">
        <v>472</v>
      </c>
      <c r="K40" s="552"/>
      <c r="L40" s="553"/>
      <c r="M40" s="549" t="s">
        <v>471</v>
      </c>
      <c r="N40" s="552"/>
      <c r="O40" s="553"/>
    </row>
    <row r="41" spans="1:15" ht="45" customHeight="1">
      <c r="A41" s="243"/>
      <c r="B41" s="597"/>
      <c r="C41" s="598"/>
      <c r="D41" s="599"/>
      <c r="E41" s="600"/>
      <c r="F41" s="601"/>
      <c r="G41" s="601"/>
      <c r="H41" s="601"/>
      <c r="I41" s="602"/>
      <c r="J41" s="549"/>
      <c r="K41" s="552"/>
      <c r="L41" s="553"/>
      <c r="M41" s="549"/>
      <c r="N41" s="552"/>
      <c r="O41" s="553"/>
    </row>
    <row r="42" spans="1:15" ht="62.25" customHeight="1">
      <c r="A42" s="243"/>
      <c r="B42" s="597"/>
      <c r="C42" s="598"/>
      <c r="D42" s="599"/>
      <c r="E42" s="579"/>
      <c r="F42" s="580"/>
      <c r="G42" s="580"/>
      <c r="H42" s="580"/>
      <c r="I42" s="581"/>
      <c r="J42" s="549"/>
      <c r="K42" s="552"/>
      <c r="L42" s="553"/>
      <c r="M42" s="549"/>
      <c r="N42" s="552"/>
      <c r="O42" s="553"/>
    </row>
    <row r="43" spans="1:15" ht="84" customHeight="1">
      <c r="A43" s="243"/>
      <c r="B43" s="597"/>
      <c r="C43" s="598"/>
      <c r="D43" s="599"/>
      <c r="E43" s="549"/>
      <c r="F43" s="552"/>
      <c r="G43" s="552"/>
      <c r="H43" s="552"/>
      <c r="I43" s="553"/>
      <c r="J43" s="424"/>
      <c r="K43" s="425"/>
      <c r="L43" s="426"/>
      <c r="M43" s="424"/>
      <c r="N43" s="425"/>
      <c r="O43" s="426"/>
    </row>
    <row r="44" spans="1:15" ht="45" customHeight="1">
      <c r="A44" s="243"/>
      <c r="B44" s="597"/>
      <c r="C44" s="598"/>
      <c r="D44" s="599"/>
      <c r="E44" s="579"/>
      <c r="F44" s="580"/>
      <c r="G44" s="580"/>
      <c r="H44" s="580"/>
      <c r="I44" s="581"/>
      <c r="J44" s="549"/>
      <c r="K44" s="552"/>
      <c r="L44" s="553"/>
      <c r="M44" s="424"/>
      <c r="N44" s="425"/>
      <c r="O44" s="426"/>
    </row>
    <row r="45" spans="1:15" ht="19.5" customHeight="1">
      <c r="B45" s="594" t="s">
        <v>301</v>
      </c>
      <c r="C45" s="595"/>
      <c r="D45" s="596"/>
      <c r="E45" s="594" t="s">
        <v>279</v>
      </c>
      <c r="F45" s="595"/>
      <c r="G45" s="595"/>
      <c r="H45" s="595"/>
      <c r="I45" s="596"/>
      <c r="J45" s="594" t="s">
        <v>280</v>
      </c>
      <c r="K45" s="595"/>
      <c r="L45" s="596"/>
      <c r="M45" s="594" t="s">
        <v>281</v>
      </c>
      <c r="N45" s="595"/>
      <c r="O45" s="596"/>
    </row>
    <row r="46" spans="1:15" ht="33.75" customHeight="1">
      <c r="B46" s="433"/>
      <c r="C46" s="434"/>
      <c r="D46" s="434"/>
      <c r="E46" s="435"/>
      <c r="F46" s="436"/>
      <c r="G46" s="436"/>
      <c r="H46" s="436"/>
      <c r="I46" s="436"/>
      <c r="J46" s="435"/>
      <c r="K46" s="435"/>
      <c r="L46" s="437"/>
      <c r="M46" s="438"/>
      <c r="N46" s="435"/>
      <c r="O46" s="437"/>
    </row>
    <row r="47" spans="1:15" ht="29.25" customHeight="1">
      <c r="B47" s="591" t="s">
        <v>412</v>
      </c>
      <c r="C47" s="592"/>
      <c r="D47" s="592"/>
      <c r="E47" s="592"/>
      <c r="F47" s="592"/>
      <c r="G47" s="592"/>
      <c r="H47" s="592"/>
      <c r="I47" s="592"/>
      <c r="J47" s="592"/>
      <c r="K47" s="592"/>
      <c r="L47" s="593"/>
      <c r="M47" s="582" t="s">
        <v>290</v>
      </c>
      <c r="N47" s="583"/>
      <c r="O47" s="584"/>
    </row>
    <row r="48" spans="1:15">
      <c r="D48" s="223"/>
    </row>
    <row r="50" spans="4:4">
      <c r="D50" s="223"/>
    </row>
    <row r="51" spans="4:4">
      <c r="D51" s="223"/>
    </row>
  </sheetData>
  <mergeCells count="118">
    <mergeCell ref="M38:O38"/>
    <mergeCell ref="J38:L38"/>
    <mergeCell ref="M40:O40"/>
    <mergeCell ref="J40:L40"/>
    <mergeCell ref="B9:D9"/>
    <mergeCell ref="B20:D20"/>
    <mergeCell ref="B12:D12"/>
    <mergeCell ref="B10:D10"/>
    <mergeCell ref="E12:I12"/>
    <mergeCell ref="B13:D13"/>
    <mergeCell ref="E16:I16"/>
    <mergeCell ref="J12:L12"/>
    <mergeCell ref="E20:I20"/>
    <mergeCell ref="M20:O20"/>
    <mergeCell ref="J13:L13"/>
    <mergeCell ref="M13:O13"/>
    <mergeCell ref="E13:I13"/>
    <mergeCell ref="J15:L15"/>
    <mergeCell ref="M12:O12"/>
    <mergeCell ref="E11:I11"/>
    <mergeCell ref="M19:O19"/>
    <mergeCell ref="B19:D19"/>
    <mergeCell ref="B16:D16"/>
    <mergeCell ref="J19:L19"/>
    <mergeCell ref="E19:I19"/>
    <mergeCell ref="B14:D14"/>
    <mergeCell ref="B17:O17"/>
    <mergeCell ref="J16:L16"/>
    <mergeCell ref="E14:I14"/>
    <mergeCell ref="J14:L14"/>
    <mergeCell ref="B15:D15"/>
    <mergeCell ref="E15:I15"/>
    <mergeCell ref="M14:O14"/>
    <mergeCell ref="M15:O15"/>
    <mergeCell ref="M16:O16"/>
    <mergeCell ref="B2:M2"/>
    <mergeCell ref="B5:O5"/>
    <mergeCell ref="M8:O8"/>
    <mergeCell ref="J8:L8"/>
    <mergeCell ref="E7:I7"/>
    <mergeCell ref="B7:D7"/>
    <mergeCell ref="E8:I8"/>
    <mergeCell ref="J7:L7"/>
    <mergeCell ref="M7:O7"/>
    <mergeCell ref="B8:D8"/>
    <mergeCell ref="M45:O45"/>
    <mergeCell ref="J42:L42"/>
    <mergeCell ref="M42:O42"/>
    <mergeCell ref="M36:O36"/>
    <mergeCell ref="M34:O34"/>
    <mergeCell ref="M35:O35"/>
    <mergeCell ref="M41:O41"/>
    <mergeCell ref="M39:O39"/>
    <mergeCell ref="E9:I9"/>
    <mergeCell ref="E10:I10"/>
    <mergeCell ref="J10:L10"/>
    <mergeCell ref="M10:O10"/>
    <mergeCell ref="J20:L20"/>
    <mergeCell ref="M9:O9"/>
    <mergeCell ref="J9:L9"/>
    <mergeCell ref="J45:L45"/>
    <mergeCell ref="M22:O22"/>
    <mergeCell ref="J24:L25"/>
    <mergeCell ref="J23:L23"/>
    <mergeCell ref="M23:O23"/>
    <mergeCell ref="M24:O25"/>
    <mergeCell ref="M26:O26"/>
    <mergeCell ref="J26:L26"/>
    <mergeCell ref="J39:L39"/>
    <mergeCell ref="M47:O47"/>
    <mergeCell ref="B31:O31"/>
    <mergeCell ref="B33:D33"/>
    <mergeCell ref="E33:I33"/>
    <mergeCell ref="J33:L33"/>
    <mergeCell ref="M33:O33"/>
    <mergeCell ref="B47:L47"/>
    <mergeCell ref="B45:D45"/>
    <mergeCell ref="E45:I45"/>
    <mergeCell ref="B42:D42"/>
    <mergeCell ref="E42:I42"/>
    <mergeCell ref="J44:L44"/>
    <mergeCell ref="B44:D44"/>
    <mergeCell ref="E43:I43"/>
    <mergeCell ref="E44:I44"/>
    <mergeCell ref="B43:D43"/>
    <mergeCell ref="B41:D41"/>
    <mergeCell ref="J41:L41"/>
    <mergeCell ref="B40:D40"/>
    <mergeCell ref="E40:I40"/>
    <mergeCell ref="E41:I41"/>
    <mergeCell ref="B38:D38"/>
    <mergeCell ref="B39:D39"/>
    <mergeCell ref="E39:I39"/>
    <mergeCell ref="M21:O21"/>
    <mergeCell ref="B26:D26"/>
    <mergeCell ref="B34:D34"/>
    <mergeCell ref="E25:I25"/>
    <mergeCell ref="B23:D23"/>
    <mergeCell ref="B24:D25"/>
    <mergeCell ref="E24:I24"/>
    <mergeCell ref="E23:I23"/>
    <mergeCell ref="E34:I34"/>
    <mergeCell ref="J34:L34"/>
    <mergeCell ref="B37:D37"/>
    <mergeCell ref="E38:I38"/>
    <mergeCell ref="E36:I36"/>
    <mergeCell ref="B36:D36"/>
    <mergeCell ref="J36:L36"/>
    <mergeCell ref="B21:D21"/>
    <mergeCell ref="E21:I21"/>
    <mergeCell ref="B22:D22"/>
    <mergeCell ref="E22:I22"/>
    <mergeCell ref="E26:I26"/>
    <mergeCell ref="J22:L22"/>
    <mergeCell ref="B35:D35"/>
    <mergeCell ref="J21:L21"/>
    <mergeCell ref="E35:I35"/>
    <mergeCell ref="J35:L35"/>
  </mergeCells>
  <phoneticPr fontId="31" type="noConversion"/>
  <pageMargins left="0.70866141732283472" right="0.62" top="0.74803149606299213" bottom="0.74803149606299213" header="0.31496062992125984" footer="0.31496062992125984"/>
  <pageSetup paperSize="9" orientation="landscape"/>
  <headerFooter alignWithMargins="0">
    <oddFooter>&amp;L&amp;F&amp;C&amp;A&amp;RV1.0          &amp;D</oddFooter>
  </headerFooter>
  <rowBreaks count="2" manualBreakCount="2">
    <brk id="16" max="16383" man="1"/>
    <brk id="29"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6"/>
  <sheetViews>
    <sheetView showGridLines="0" topLeftCell="A105" zoomScale="80" zoomScaleNormal="80" zoomScalePageLayoutView="80" workbookViewId="0">
      <selection activeCell="I44" sqref="I44"/>
    </sheetView>
  </sheetViews>
  <sheetFormatPr defaultColWidth="11" defaultRowHeight="15"/>
  <cols>
    <col min="1" max="1" width="2.7109375" customWidth="1"/>
    <col min="2" max="2" width="50"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23.8554687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445" t="s">
        <v>395</v>
      </c>
      <c r="F1" s="468">
        <v>42228</v>
      </c>
      <c r="G1" s="3"/>
      <c r="H1" s="3"/>
      <c r="I1" s="3"/>
      <c r="J1" s="3"/>
      <c r="K1" s="3"/>
      <c r="L1" s="3"/>
      <c r="M1" s="3"/>
    </row>
    <row r="2" spans="1:13" ht="15.75" customHeight="1">
      <c r="A2" s="3"/>
      <c r="B2" s="664" t="s">
        <v>356</v>
      </c>
      <c r="C2" s="664"/>
      <c r="D2" s="664"/>
      <c r="E2" s="664"/>
      <c r="F2" s="664"/>
      <c r="G2" s="664"/>
      <c r="H2" s="664"/>
      <c r="I2" s="664"/>
      <c r="J2" s="664"/>
      <c r="K2" s="267"/>
      <c r="L2" s="267"/>
      <c r="M2" s="267"/>
    </row>
    <row r="3" spans="1:13" ht="4.5" customHeight="1">
      <c r="A3" s="3"/>
      <c r="B3" s="3"/>
      <c r="C3" s="3"/>
      <c r="D3" s="3"/>
      <c r="E3" s="3"/>
      <c r="F3" s="3"/>
      <c r="G3" s="3"/>
      <c r="H3" s="3"/>
      <c r="I3" s="3"/>
      <c r="J3" s="3"/>
      <c r="K3" s="3"/>
      <c r="L3" s="3"/>
      <c r="M3" s="3"/>
    </row>
    <row r="4" spans="1:13">
      <c r="A4" s="3"/>
      <c r="B4" s="265" t="s">
        <v>33</v>
      </c>
      <c r="C4" s="665" t="s">
        <v>183</v>
      </c>
      <c r="D4" s="666"/>
      <c r="E4" s="667" t="s">
        <v>19</v>
      </c>
      <c r="F4" s="667"/>
      <c r="G4" s="665" t="s">
        <v>419</v>
      </c>
      <c r="H4" s="668"/>
      <c r="I4" s="668"/>
      <c r="J4" s="666"/>
      <c r="K4" s="3"/>
      <c r="L4" s="3"/>
      <c r="M4" s="3"/>
    </row>
    <row r="5" spans="1:13" ht="21.75" customHeight="1">
      <c r="A5" s="3"/>
      <c r="B5" s="265"/>
      <c r="C5" s="3"/>
      <c r="D5" s="3"/>
      <c r="E5" s="268"/>
      <c r="F5" s="268"/>
      <c r="G5" s="3"/>
      <c r="H5" s="3"/>
      <c r="I5" s="3"/>
      <c r="J5" s="3"/>
      <c r="K5" s="3"/>
      <c r="L5" s="3"/>
      <c r="M5" s="3"/>
    </row>
    <row r="6" spans="1:13">
      <c r="A6" s="3"/>
      <c r="B6" s="265" t="s">
        <v>122</v>
      </c>
      <c r="C6" s="665" t="s">
        <v>498</v>
      </c>
      <c r="D6" s="666"/>
      <c r="E6" s="667" t="s">
        <v>34</v>
      </c>
      <c r="F6" s="667"/>
      <c r="G6" s="452" t="s">
        <v>41</v>
      </c>
      <c r="H6" s="529" t="s">
        <v>499</v>
      </c>
      <c r="I6" s="671">
        <v>13325139.303646</v>
      </c>
      <c r="J6" s="672"/>
      <c r="K6" s="3"/>
      <c r="L6" s="3"/>
      <c r="M6" s="3"/>
    </row>
    <row r="7" spans="1:13" ht="3" customHeight="1">
      <c r="A7" s="3"/>
      <c r="B7" s="265"/>
      <c r="C7" s="3"/>
      <c r="D7" s="3"/>
      <c r="E7" s="268"/>
      <c r="F7" s="268"/>
      <c r="G7" s="453"/>
      <c r="H7" s="265"/>
      <c r="I7" s="3"/>
      <c r="J7" s="3"/>
      <c r="K7" s="3"/>
      <c r="L7" s="3"/>
      <c r="M7" s="3"/>
    </row>
    <row r="8" spans="1:13">
      <c r="A8" s="3"/>
      <c r="B8" s="265" t="s">
        <v>274</v>
      </c>
      <c r="C8" s="665" t="s">
        <v>495</v>
      </c>
      <c r="D8" s="666"/>
      <c r="E8" s="269"/>
      <c r="F8" s="264" t="s">
        <v>320</v>
      </c>
      <c r="G8" s="454" t="s">
        <v>501</v>
      </c>
      <c r="H8" s="264" t="s">
        <v>319</v>
      </c>
      <c r="I8" s="678" t="s">
        <v>500</v>
      </c>
      <c r="J8" s="680"/>
      <c r="K8" s="3"/>
      <c r="L8" s="3"/>
      <c r="M8" s="3"/>
    </row>
    <row r="9" spans="1:13" ht="3" customHeight="1">
      <c r="A9" s="3"/>
      <c r="B9" s="268"/>
      <c r="C9" s="3"/>
      <c r="D9" s="3"/>
      <c r="E9" s="268"/>
      <c r="F9" s="268"/>
      <c r="G9" s="3"/>
      <c r="H9" s="3"/>
      <c r="I9" s="3"/>
      <c r="J9" s="3"/>
      <c r="K9" s="3"/>
      <c r="L9" s="3"/>
      <c r="M9" s="3"/>
    </row>
    <row r="10" spans="1:13">
      <c r="A10" s="3"/>
      <c r="B10" s="265" t="s">
        <v>379</v>
      </c>
      <c r="C10" s="682">
        <v>42064</v>
      </c>
      <c r="D10" s="683"/>
      <c r="E10" s="681" t="s">
        <v>38</v>
      </c>
      <c r="F10" s="674"/>
      <c r="G10" s="678" t="s">
        <v>64</v>
      </c>
      <c r="H10" s="679"/>
      <c r="I10" s="679"/>
      <c r="J10" s="680"/>
      <c r="K10" s="3"/>
      <c r="L10" s="3"/>
      <c r="M10" s="3"/>
    </row>
    <row r="11" spans="1:13" ht="5.25" customHeight="1">
      <c r="A11" s="3"/>
      <c r="B11" s="3"/>
      <c r="C11" s="3"/>
      <c r="D11" s="3"/>
      <c r="E11" s="3"/>
      <c r="F11" s="3"/>
      <c r="G11" s="3"/>
      <c r="H11" s="3"/>
      <c r="I11" s="3"/>
      <c r="J11" s="3"/>
      <c r="K11" s="3"/>
      <c r="L11" s="3"/>
      <c r="M11" s="3"/>
    </row>
    <row r="12" spans="1:13" ht="15" customHeight="1">
      <c r="A12" s="3"/>
      <c r="B12" s="265" t="s">
        <v>36</v>
      </c>
      <c r="C12" s="687" t="s">
        <v>52</v>
      </c>
      <c r="D12" s="687"/>
      <c r="E12" s="681" t="s">
        <v>294</v>
      </c>
      <c r="F12" s="667"/>
      <c r="G12" s="684" t="s">
        <v>497</v>
      </c>
      <c r="H12" s="685"/>
      <c r="I12" s="685"/>
      <c r="J12" s="686"/>
      <c r="K12" s="3"/>
      <c r="L12" s="3"/>
      <c r="M12" s="3"/>
    </row>
    <row r="13" spans="1:13" ht="5.25" customHeight="1">
      <c r="A13" s="3"/>
      <c r="B13" s="3"/>
      <c r="C13" s="3"/>
      <c r="D13" s="3"/>
      <c r="E13" s="3"/>
      <c r="F13" s="3"/>
      <c r="G13" s="3"/>
      <c r="H13" s="3"/>
      <c r="I13" s="3"/>
      <c r="J13" s="3"/>
      <c r="K13" s="3"/>
      <c r="L13" s="3"/>
      <c r="M13" s="3"/>
    </row>
    <row r="14" spans="1:13" ht="15.75" customHeight="1">
      <c r="A14" s="3"/>
      <c r="B14" s="664" t="s">
        <v>7</v>
      </c>
      <c r="C14" s="664"/>
      <c r="D14" s="664"/>
      <c r="E14" s="664"/>
      <c r="F14" s="664"/>
      <c r="G14" s="664"/>
      <c r="H14" s="664"/>
      <c r="I14" s="664"/>
      <c r="J14" s="664"/>
      <c r="K14" s="3"/>
      <c r="L14" s="3"/>
      <c r="M14" s="3"/>
    </row>
    <row r="15" spans="1:13" ht="3" customHeight="1">
      <c r="A15" s="3"/>
      <c r="B15" s="3"/>
      <c r="C15" s="3"/>
      <c r="D15" s="3"/>
      <c r="E15" s="3"/>
      <c r="F15" s="3"/>
      <c r="G15" s="3"/>
      <c r="H15" s="3"/>
      <c r="I15" s="3"/>
      <c r="J15" s="3"/>
      <c r="K15" s="3"/>
      <c r="L15" s="3"/>
      <c r="M15" s="3"/>
    </row>
    <row r="16" spans="1:13">
      <c r="A16" s="3"/>
      <c r="B16" s="265" t="s">
        <v>28</v>
      </c>
      <c r="C16" s="370" t="s">
        <v>113</v>
      </c>
      <c r="D16" s="264" t="s">
        <v>321</v>
      </c>
      <c r="E16" s="455">
        <v>42095</v>
      </c>
      <c r="F16" s="266" t="s">
        <v>15</v>
      </c>
      <c r="G16" s="525">
        <v>42185</v>
      </c>
      <c r="H16" s="681" t="s">
        <v>322</v>
      </c>
      <c r="I16" s="674"/>
      <c r="J16" s="456">
        <f>F1</f>
        <v>42228</v>
      </c>
      <c r="K16" s="3"/>
      <c r="L16" s="3"/>
      <c r="M16" s="3"/>
    </row>
    <row r="17" spans="1:36" ht="3" customHeight="1">
      <c r="A17" s="3"/>
      <c r="B17" s="3"/>
      <c r="C17" s="3"/>
      <c r="D17" s="3"/>
      <c r="E17" s="3"/>
      <c r="F17" s="3"/>
      <c r="G17" s="3"/>
      <c r="H17" s="3"/>
      <c r="I17" s="3"/>
      <c r="J17" s="3"/>
      <c r="K17" s="3"/>
      <c r="L17" s="3"/>
      <c r="M17" s="3"/>
    </row>
    <row r="18" spans="1:36">
      <c r="A18" s="3"/>
      <c r="B18" s="673" t="s">
        <v>39</v>
      </c>
      <c r="C18" s="674"/>
      <c r="D18" s="678" t="s">
        <v>452</v>
      </c>
      <c r="E18" s="679"/>
      <c r="F18" s="680"/>
      <c r="G18" s="270"/>
      <c r="H18" s="270"/>
      <c r="I18" s="270"/>
      <c r="J18" s="270"/>
      <c r="K18" s="3"/>
      <c r="L18" s="3"/>
      <c r="M18" s="3"/>
    </row>
    <row r="19" spans="1:36" ht="3" customHeight="1">
      <c r="A19" s="3"/>
      <c r="B19" s="3"/>
      <c r="C19" s="3"/>
      <c r="D19" s="3"/>
      <c r="E19" s="3"/>
      <c r="F19" s="3"/>
      <c r="G19" s="3"/>
      <c r="H19" s="3"/>
      <c r="I19" s="3"/>
      <c r="J19" s="3"/>
      <c r="K19" s="3"/>
      <c r="L19" s="3"/>
      <c r="M19" s="3"/>
    </row>
    <row r="20" spans="1:36" ht="5.25" customHeight="1">
      <c r="A20" s="3"/>
      <c r="B20" s="3"/>
      <c r="C20" s="3"/>
      <c r="D20" s="3"/>
      <c r="E20" s="3"/>
      <c r="F20" s="3"/>
      <c r="G20" s="3"/>
      <c r="H20" s="3"/>
      <c r="I20" s="3"/>
      <c r="J20" s="3"/>
      <c r="K20" s="3"/>
      <c r="L20" s="3"/>
      <c r="M20" s="3"/>
    </row>
    <row r="21" spans="1:36" ht="15.75" customHeight="1">
      <c r="A21" s="3"/>
      <c r="B21" s="664" t="s">
        <v>345</v>
      </c>
      <c r="C21" s="664"/>
      <c r="D21" s="664"/>
      <c r="E21" s="664"/>
      <c r="F21" s="664"/>
      <c r="G21" s="664"/>
      <c r="H21" s="664"/>
      <c r="I21" s="664"/>
      <c r="J21" s="664"/>
      <c r="K21" s="3"/>
      <c r="L21" s="3"/>
      <c r="M21" s="3"/>
    </row>
    <row r="22" spans="1:36">
      <c r="A22" s="3"/>
      <c r="B22" s="268" t="s">
        <v>8</v>
      </c>
      <c r="C22" s="3"/>
      <c r="D22" s="3"/>
      <c r="E22" s="271"/>
      <c r="F22" s="271"/>
      <c r="G22" s="3"/>
      <c r="H22" s="3"/>
      <c r="I22" s="271"/>
      <c r="J22" s="271"/>
      <c r="K22" s="3"/>
      <c r="L22" s="3"/>
      <c r="M22" s="3"/>
    </row>
    <row r="23" spans="1:36" ht="3" customHeight="1">
      <c r="A23" s="3"/>
      <c r="B23" s="3"/>
      <c r="C23" s="3"/>
      <c r="D23" s="3"/>
      <c r="E23" s="3"/>
      <c r="F23" s="3"/>
      <c r="G23" s="3"/>
      <c r="H23" s="3"/>
      <c r="I23" s="3"/>
      <c r="J23" s="3"/>
      <c r="K23" s="3"/>
      <c r="L23" s="3"/>
      <c r="M23" s="3"/>
    </row>
    <row r="24" spans="1:36" ht="15.75" thickBot="1">
      <c r="A24" s="3"/>
      <c r="B24" s="265" t="s">
        <v>376</v>
      </c>
      <c r="C24" s="363"/>
      <c r="D24" s="667" t="s">
        <v>377</v>
      </c>
      <c r="E24" s="667"/>
      <c r="F24" s="364"/>
      <c r="G24" s="667" t="s">
        <v>378</v>
      </c>
      <c r="H24" s="667"/>
      <c r="I24" s="669"/>
      <c r="J24" s="670"/>
      <c r="K24" s="3"/>
      <c r="L24" s="3"/>
      <c r="M24" s="3"/>
      <c r="N24" s="20"/>
    </row>
    <row r="25" spans="1:36" ht="19.5" thickBot="1">
      <c r="A25" s="3"/>
      <c r="B25" s="87" t="s">
        <v>376</v>
      </c>
      <c r="C25" s="88"/>
      <c r="D25" s="88"/>
      <c r="E25" s="88"/>
      <c r="F25" s="88"/>
      <c r="G25" s="88"/>
      <c r="H25" s="252"/>
      <c r="I25" s="89"/>
      <c r="J25" s="89"/>
      <c r="K25" s="252" t="s">
        <v>323</v>
      </c>
      <c r="L25" s="88"/>
      <c r="M25" s="88"/>
      <c r="N25" s="378"/>
      <c r="O25" s="40"/>
      <c r="AI25" s="44"/>
    </row>
    <row r="26" spans="1:36">
      <c r="A26" s="3"/>
      <c r="B26" s="691" t="s">
        <v>352</v>
      </c>
      <c r="C26" s="692"/>
      <c r="D26" s="392" t="s">
        <v>26</v>
      </c>
      <c r="E26" s="91"/>
      <c r="F26" s="91"/>
      <c r="G26" s="91"/>
      <c r="H26" s="91"/>
      <c r="I26" s="91"/>
      <c r="J26" s="92"/>
      <c r="K26" s="91"/>
      <c r="L26" s="91"/>
      <c r="M26" s="91"/>
      <c r="N26" s="40"/>
      <c r="O26" s="40"/>
      <c r="AI26" s="44"/>
    </row>
    <row r="27" spans="1:36" ht="18.75">
      <c r="A27" s="3"/>
      <c r="B27" s="90" t="s">
        <v>361</v>
      </c>
      <c r="C27" s="91"/>
      <c r="D27" s="91"/>
      <c r="E27" s="91"/>
      <c r="F27" s="91"/>
      <c r="G27" s="91"/>
      <c r="H27" s="91"/>
      <c r="I27" s="91"/>
      <c r="J27" s="92"/>
      <c r="K27" s="91"/>
      <c r="L27" s="91"/>
      <c r="M27" s="91"/>
      <c r="N27" s="40"/>
      <c r="O27" s="40"/>
      <c r="AI27" s="44"/>
    </row>
    <row r="28" spans="1:36" s="512" customFormat="1" ht="15.75" thickBot="1">
      <c r="A28" s="507"/>
      <c r="B28" s="508"/>
      <c r="C28" s="509" t="s">
        <v>520</v>
      </c>
      <c r="D28" s="509" t="s">
        <v>484</v>
      </c>
      <c r="E28" s="509" t="s">
        <v>485</v>
      </c>
      <c r="F28" s="509" t="s">
        <v>486</v>
      </c>
      <c r="G28" s="509" t="s">
        <v>487</v>
      </c>
      <c r="H28" s="509" t="s">
        <v>488</v>
      </c>
      <c r="I28" s="509" t="s">
        <v>489</v>
      </c>
      <c r="J28" s="510" t="s">
        <v>490</v>
      </c>
      <c r="K28" s="509" t="s">
        <v>504</v>
      </c>
      <c r="L28" s="509" t="s">
        <v>505</v>
      </c>
      <c r="M28" s="509" t="s">
        <v>506</v>
      </c>
      <c r="N28" s="510" t="s">
        <v>507</v>
      </c>
      <c r="O28" s="510"/>
      <c r="AH28" s="511"/>
      <c r="AI28" s="511"/>
      <c r="AJ28" s="511"/>
    </row>
    <row r="29" spans="1:36" ht="15.75" thickBot="1">
      <c r="A29" s="3"/>
      <c r="B29" s="640"/>
      <c r="C29" s="641"/>
      <c r="D29" s="641"/>
      <c r="E29" s="641"/>
      <c r="F29" s="641"/>
      <c r="G29" s="641"/>
      <c r="H29" s="641"/>
      <c r="I29" s="641"/>
      <c r="J29" s="641"/>
      <c r="K29" s="641"/>
      <c r="L29" s="641"/>
      <c r="M29" s="641"/>
      <c r="N29" s="642"/>
      <c r="P29" s="208"/>
      <c r="Q29" s="209"/>
      <c r="R29" s="210">
        <f>+C33</f>
        <v>1536486.0199999998</v>
      </c>
      <c r="S29" s="208"/>
    </row>
    <row r="30" spans="1:36">
      <c r="A30" s="3"/>
      <c r="B30" s="93" t="s">
        <v>273</v>
      </c>
      <c r="C30" s="345" t="s">
        <v>112</v>
      </c>
      <c r="D30" s="345" t="s">
        <v>113</v>
      </c>
      <c r="E30" s="345" t="s">
        <v>114</v>
      </c>
      <c r="F30" s="345" t="s">
        <v>115</v>
      </c>
      <c r="G30" s="345" t="s">
        <v>126</v>
      </c>
      <c r="H30" s="345" t="s">
        <v>127</v>
      </c>
      <c r="I30" s="345" t="s">
        <v>128</v>
      </c>
      <c r="J30" s="345" t="s">
        <v>129</v>
      </c>
      <c r="K30" s="345" t="s">
        <v>130</v>
      </c>
      <c r="L30" s="345" t="s">
        <v>131</v>
      </c>
      <c r="M30" s="345" t="s">
        <v>132</v>
      </c>
      <c r="N30" s="346" t="s">
        <v>292</v>
      </c>
      <c r="O30" s="347" t="s">
        <v>9</v>
      </c>
      <c r="P30" s="208"/>
      <c r="Q30" s="209"/>
      <c r="R30" s="210">
        <f>+D33</f>
        <v>4664236.9400000004</v>
      </c>
      <c r="S30" s="208"/>
    </row>
    <row r="31" spans="1:36">
      <c r="A31" s="3"/>
      <c r="B31" s="261" t="str">
        <f>CONCATENATE("Budget (in ",'Data Entry'!$D$26,")")</f>
        <v>Budget (in $)</v>
      </c>
      <c r="C31" s="354">
        <v>1536486.0199999998</v>
      </c>
      <c r="D31" s="354">
        <v>3127750.9200000004</v>
      </c>
      <c r="E31" s="354"/>
      <c r="F31" s="354"/>
      <c r="G31" s="354"/>
      <c r="H31" s="354"/>
      <c r="I31" s="354"/>
      <c r="J31" s="354"/>
      <c r="K31" s="354"/>
      <c r="L31" s="354"/>
      <c r="M31" s="354"/>
      <c r="N31" s="354"/>
      <c r="O31" s="715">
        <f>+SUM(C35:N35)</f>
        <v>1.440734912579291</v>
      </c>
      <c r="P31" s="208"/>
      <c r="Q31" s="209"/>
      <c r="R31" s="210">
        <f>+E33</f>
        <v>0</v>
      </c>
      <c r="S31" s="208"/>
    </row>
    <row r="32" spans="1:36">
      <c r="A32" s="3"/>
      <c r="B32" s="93" t="str">
        <f>CONCATENATE("Disbursements by GF (in ", $D$26,")")</f>
        <v>Disbursements by GF (in $)</v>
      </c>
      <c r="C32" s="355"/>
      <c r="D32" s="355">
        <v>6719929</v>
      </c>
      <c r="E32" s="355"/>
      <c r="F32" s="355"/>
      <c r="G32" s="355"/>
      <c r="H32" s="355"/>
      <c r="I32" s="354"/>
      <c r="J32" s="354"/>
      <c r="K32" s="354"/>
      <c r="L32" s="354"/>
      <c r="M32" s="354"/>
      <c r="N32" s="354"/>
      <c r="O32" s="716"/>
      <c r="P32" s="208"/>
      <c r="Q32" s="209"/>
      <c r="R32" s="210">
        <f>+F33</f>
        <v>0</v>
      </c>
      <c r="S32" s="208"/>
    </row>
    <row r="33" spans="1:35">
      <c r="A33" s="3"/>
      <c r="B33" s="94" t="s">
        <v>366</v>
      </c>
      <c r="C33" s="356">
        <f>+C31</f>
        <v>1536486.0199999998</v>
      </c>
      <c r="D33" s="356">
        <f>IF(AND(D31=0,D32=0),0,+C33+D31)</f>
        <v>4664236.9400000004</v>
      </c>
      <c r="E33" s="356">
        <f>IF(AND(E31=0,E32=0),0,+D33+E31)</f>
        <v>0</v>
      </c>
      <c r="F33" s="356">
        <f t="shared" ref="F33:M33" si="0">IF(AND(F31=0,F32=0),0,+E33+F31)</f>
        <v>0</v>
      </c>
      <c r="G33" s="356">
        <f t="shared" si="0"/>
        <v>0</v>
      </c>
      <c r="H33" s="356">
        <f t="shared" si="0"/>
        <v>0</v>
      </c>
      <c r="I33" s="356">
        <f t="shared" si="0"/>
        <v>0</v>
      </c>
      <c r="J33" s="356">
        <f t="shared" si="0"/>
        <v>0</v>
      </c>
      <c r="K33" s="356">
        <f t="shared" si="0"/>
        <v>0</v>
      </c>
      <c r="L33" s="356">
        <f t="shared" si="0"/>
        <v>0</v>
      </c>
      <c r="M33" s="356">
        <f t="shared" si="0"/>
        <v>0</v>
      </c>
      <c r="N33" s="356">
        <f>IF(AND(N31=0,N32=0),0,+M33+N31)</f>
        <v>0</v>
      </c>
      <c r="O33" s="716"/>
      <c r="P33" s="340"/>
      <c r="Q33" s="209"/>
      <c r="R33" s="210">
        <f>+G33</f>
        <v>0</v>
      </c>
      <c r="S33" s="208"/>
    </row>
    <row r="34" spans="1:35" ht="15.75" thickBot="1">
      <c r="A34" s="3"/>
      <c r="B34" s="95" t="s">
        <v>367</v>
      </c>
      <c r="C34" s="357">
        <f>+C32</f>
        <v>0</v>
      </c>
      <c r="D34" s="357">
        <f>IF(AND(D31=0,D32=0),0,+C34+D32)</f>
        <v>6719929</v>
      </c>
      <c r="E34" s="357">
        <f t="shared" ref="E34:N34" si="1">IF(AND(E31=0,E32=0),0,+D34+E32)</f>
        <v>0</v>
      </c>
      <c r="F34" s="357">
        <f t="shared" si="1"/>
        <v>0</v>
      </c>
      <c r="G34" s="357">
        <f t="shared" si="1"/>
        <v>0</v>
      </c>
      <c r="H34" s="357">
        <f t="shared" si="1"/>
        <v>0</v>
      </c>
      <c r="I34" s="357">
        <f t="shared" si="1"/>
        <v>0</v>
      </c>
      <c r="J34" s="357">
        <f t="shared" ref="J34" si="2">IF(AND(J31=0,J32=0),0,+I34+J32)</f>
        <v>0</v>
      </c>
      <c r="K34" s="357">
        <f t="shared" ref="K34" si="3">IF(AND(K31=0,K32=0),0,+J34+K32)</f>
        <v>0</v>
      </c>
      <c r="L34" s="357">
        <f t="shared" ref="L34" si="4">IF(AND(L31=0,L32=0),0,+K34+L32)</f>
        <v>0</v>
      </c>
      <c r="M34" s="357">
        <f t="shared" si="1"/>
        <v>0</v>
      </c>
      <c r="N34" s="357">
        <f t="shared" si="1"/>
        <v>0</v>
      </c>
      <c r="O34" s="717"/>
      <c r="P34" s="340"/>
      <c r="Q34" s="209"/>
      <c r="R34" s="210">
        <f>+H33</f>
        <v>0</v>
      </c>
      <c r="S34" s="208"/>
    </row>
    <row r="35" spans="1:35">
      <c r="A35" s="3"/>
      <c r="B35" s="3"/>
      <c r="C35" s="321">
        <f>+IF(AND(C30=$C$16,C33&lt;&gt;0),C34/C33,0)</f>
        <v>0</v>
      </c>
      <c r="D35" s="321">
        <f t="shared" ref="D35:N35" si="5">+IF(AND(D30=$C$16,D33&lt;&gt;0),D34/D33,0)</f>
        <v>1.440734912579291</v>
      </c>
      <c r="E35" s="321">
        <f t="shared" si="5"/>
        <v>0</v>
      </c>
      <c r="F35" s="321">
        <f t="shared" si="5"/>
        <v>0</v>
      </c>
      <c r="G35" s="321">
        <f t="shared" si="5"/>
        <v>0</v>
      </c>
      <c r="H35" s="321">
        <f t="shared" si="5"/>
        <v>0</v>
      </c>
      <c r="I35" s="321">
        <f t="shared" si="5"/>
        <v>0</v>
      </c>
      <c r="J35" s="321">
        <f t="shared" si="5"/>
        <v>0</v>
      </c>
      <c r="K35" s="321">
        <f t="shared" si="5"/>
        <v>0</v>
      </c>
      <c r="L35" s="321">
        <f t="shared" si="5"/>
        <v>0</v>
      </c>
      <c r="M35" s="321">
        <f t="shared" si="5"/>
        <v>0</v>
      </c>
      <c r="N35" s="321">
        <f t="shared" si="5"/>
        <v>0</v>
      </c>
      <c r="O35" s="272"/>
      <c r="P35" s="211"/>
      <c r="Q35" s="212"/>
      <c r="R35" s="210">
        <f>+I33</f>
        <v>0</v>
      </c>
      <c r="S35" s="208"/>
    </row>
    <row r="36" spans="1:35" ht="18.75">
      <c r="A36" s="3"/>
      <c r="B36" s="90" t="s">
        <v>426</v>
      </c>
      <c r="C36" s="3"/>
      <c r="D36" s="3"/>
      <c r="E36" s="330"/>
      <c r="F36" s="3"/>
      <c r="G36" s="249"/>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65" t="s">
        <v>427</v>
      </c>
      <c r="C38" s="366" t="str">
        <f>CONCATENATE("Cumulative Budget (in ",'Data Entry'!$D$26,")")</f>
        <v>Cumulative Budget (in $)</v>
      </c>
      <c r="D38" s="367" t="str">
        <f>CONCATENATE("Cumulative Expenditures (in ",'Data Entry'!$D$26,")")</f>
        <v>Cumulative Expenditures (in $)</v>
      </c>
      <c r="E38" s="258"/>
      <c r="F38" s="482" t="s">
        <v>416</v>
      </c>
      <c r="G38" s="3"/>
      <c r="H38" s="3"/>
      <c r="I38" s="3"/>
      <c r="J38" s="100"/>
      <c r="K38" s="42"/>
      <c r="N38"/>
      <c r="O38"/>
      <c r="AE38" s="20"/>
      <c r="AF38" s="36"/>
    </row>
    <row r="39" spans="1:35" ht="14.25" customHeight="1">
      <c r="A39" s="3"/>
      <c r="B39" s="368" t="s">
        <v>508</v>
      </c>
      <c r="C39" s="530">
        <f>669346.41+1798428.45</f>
        <v>2467774.86</v>
      </c>
      <c r="D39" s="531">
        <f>430377.4+1456114.69</f>
        <v>1886492.0899999999</v>
      </c>
      <c r="E39" s="273"/>
      <c r="F39" s="923">
        <f>D39/C39</f>
        <v>0.764450647657542</v>
      </c>
      <c r="G39" s="341"/>
      <c r="H39" s="3"/>
      <c r="I39" s="3"/>
      <c r="J39" s="101"/>
      <c r="K39" s="43"/>
      <c r="N39"/>
      <c r="O39"/>
      <c r="AE39" s="20"/>
      <c r="AF39" s="36"/>
    </row>
    <row r="40" spans="1:35" ht="14.25" customHeight="1">
      <c r="A40" s="3"/>
      <c r="B40" s="368" t="s">
        <v>509</v>
      </c>
      <c r="C40" s="530">
        <f>52803.5+339217.08</f>
        <v>392020.58</v>
      </c>
      <c r="D40" s="531">
        <f>49816.7+96766.12</f>
        <v>146582.82</v>
      </c>
      <c r="E40" s="15"/>
      <c r="F40" s="923">
        <f t="shared" ref="F40:F48" si="6">D40/C40</f>
        <v>0.37391613470905022</v>
      </c>
      <c r="G40" s="341"/>
      <c r="H40" s="3"/>
      <c r="I40" s="3"/>
      <c r="J40" s="3"/>
      <c r="K40" s="43"/>
      <c r="N40"/>
      <c r="O40"/>
      <c r="AE40" s="20"/>
      <c r="AF40" s="36"/>
    </row>
    <row r="41" spans="1:35" ht="14.25" customHeight="1">
      <c r="A41" s="3"/>
      <c r="B41" s="368" t="s">
        <v>510</v>
      </c>
      <c r="C41" s="530">
        <f>206737.88+246642.39</f>
        <v>453380.27</v>
      </c>
      <c r="D41" s="531">
        <f>271654.62+13107.22</f>
        <v>284761.83999999997</v>
      </c>
      <c r="E41" s="15"/>
      <c r="F41" s="923">
        <f t="shared" si="6"/>
        <v>0.62808608764558715</v>
      </c>
      <c r="G41" s="341"/>
      <c r="H41" s="3"/>
      <c r="I41" s="3"/>
      <c r="J41" s="3"/>
      <c r="K41" s="43"/>
      <c r="N41"/>
      <c r="O41"/>
      <c r="AE41" s="20"/>
      <c r="AF41" s="36"/>
    </row>
    <row r="42" spans="1:35" ht="14.25" customHeight="1">
      <c r="A42" s="3"/>
      <c r="B42" s="368" t="s">
        <v>511</v>
      </c>
      <c r="C42" s="532">
        <v>0</v>
      </c>
      <c r="D42" s="531">
        <v>5088011.34</v>
      </c>
      <c r="E42" s="15"/>
      <c r="F42" s="923" t="e">
        <f t="shared" si="6"/>
        <v>#DIV/0!</v>
      </c>
      <c r="G42" s="341"/>
      <c r="H42" s="3"/>
      <c r="I42" s="3"/>
      <c r="J42" s="3"/>
      <c r="K42" s="43"/>
      <c r="N42"/>
      <c r="O42"/>
      <c r="AE42" s="20"/>
      <c r="AF42" s="36"/>
    </row>
    <row r="43" spans="1:35" ht="14.25" customHeight="1">
      <c r="A43" s="3"/>
      <c r="B43" s="368" t="s">
        <v>512</v>
      </c>
      <c r="C43" s="532">
        <f>24412.15+35800.02</f>
        <v>60212.17</v>
      </c>
      <c r="D43" s="531">
        <f>29446.19+3019.01</f>
        <v>32465.199999999997</v>
      </c>
      <c r="E43" s="15"/>
      <c r="F43" s="923">
        <f t="shared" si="6"/>
        <v>0.5391800361953405</v>
      </c>
      <c r="G43" s="341"/>
      <c r="H43" s="527"/>
      <c r="I43" s="3"/>
      <c r="J43" s="202"/>
      <c r="K43" s="506"/>
      <c r="N43"/>
      <c r="O43"/>
      <c r="AE43" s="20"/>
      <c r="AF43" s="36"/>
    </row>
    <row r="44" spans="1:35" ht="14.25" customHeight="1">
      <c r="A44" s="3"/>
      <c r="B44" s="368" t="s">
        <v>513</v>
      </c>
      <c r="C44" s="532">
        <f>6160+17079.99</f>
        <v>23239.99</v>
      </c>
      <c r="D44" s="531">
        <f>618.91+25907.5</f>
        <v>26526.41</v>
      </c>
      <c r="E44" s="15"/>
      <c r="F44" s="923">
        <f t="shared" si="6"/>
        <v>1.1414122811584686</v>
      </c>
      <c r="G44" s="341"/>
      <c r="H44" s="3"/>
      <c r="I44" s="3"/>
      <c r="J44" s="3"/>
      <c r="K44" s="43"/>
      <c r="N44"/>
      <c r="O44"/>
      <c r="AE44" s="20"/>
      <c r="AF44" s="36"/>
    </row>
    <row r="45" spans="1:35">
      <c r="A45" s="3"/>
      <c r="B45" s="368" t="s">
        <v>514</v>
      </c>
      <c r="C45" s="532">
        <f>1200+8400</f>
        <v>9600</v>
      </c>
      <c r="D45" s="531">
        <f>42.41+3107.64</f>
        <v>3150.0499999999997</v>
      </c>
      <c r="E45" s="15"/>
      <c r="F45" s="923">
        <f t="shared" si="6"/>
        <v>0.32813020833333328</v>
      </c>
      <c r="G45" s="3"/>
      <c r="H45" s="202"/>
      <c r="I45" s="202"/>
      <c r="J45" s="3"/>
      <c r="K45" s="43"/>
      <c r="N45"/>
      <c r="O45"/>
      <c r="AE45" s="20"/>
      <c r="AF45" s="36"/>
    </row>
    <row r="46" spans="1:35" ht="15" customHeight="1">
      <c r="A46" s="3"/>
      <c r="B46" s="368" t="s">
        <v>515</v>
      </c>
      <c r="C46" s="530">
        <f>428153.29+592571.13</f>
        <v>1020724.4199999999</v>
      </c>
      <c r="D46" s="531">
        <f>30764.12+203630.42</f>
        <v>234394.54</v>
      </c>
      <c r="E46" s="15"/>
      <c r="F46" s="923">
        <f t="shared" si="6"/>
        <v>0.22963547790891495</v>
      </c>
      <c r="G46" s="3"/>
      <c r="H46" s="202"/>
      <c r="I46" s="202"/>
      <c r="J46" s="3"/>
      <c r="K46" s="20"/>
      <c r="N46"/>
      <c r="O46"/>
      <c r="AE46" s="20"/>
      <c r="AF46" s="36"/>
    </row>
    <row r="47" spans="1:35">
      <c r="A47" s="3"/>
      <c r="B47" s="368" t="s">
        <v>516</v>
      </c>
      <c r="C47" s="532">
        <f>93714.9+35653.95</f>
        <v>129368.84999999999</v>
      </c>
      <c r="D47" s="531">
        <f>1351.61+6919.89</f>
        <v>8271.5</v>
      </c>
      <c r="E47" s="15"/>
      <c r="F47" s="923">
        <f t="shared" si="6"/>
        <v>6.3937338857074172E-2</v>
      </c>
      <c r="G47" s="3"/>
      <c r="H47" s="3"/>
      <c r="I47" s="202"/>
      <c r="J47" s="3"/>
      <c r="K47" s="20"/>
      <c r="N47"/>
      <c r="O47"/>
      <c r="AE47" s="20"/>
      <c r="AF47" s="36"/>
    </row>
    <row r="48" spans="1:35">
      <c r="A48" s="3"/>
      <c r="B48" s="368" t="s">
        <v>517</v>
      </c>
      <c r="C48" s="532">
        <f>53957.89+53957.91</f>
        <v>107915.8</v>
      </c>
      <c r="D48" s="531">
        <f>10225+47130.62</f>
        <v>57355.62</v>
      </c>
      <c r="E48" s="15"/>
      <c r="F48" s="923">
        <f t="shared" si="6"/>
        <v>0.53148491694450672</v>
      </c>
      <c r="G48" s="3"/>
      <c r="H48" s="3"/>
      <c r="I48" s="3"/>
      <c r="J48" s="3"/>
      <c r="K48" s="20"/>
      <c r="N48"/>
      <c r="O48"/>
      <c r="AE48" s="20"/>
      <c r="AF48" s="36"/>
    </row>
    <row r="49" spans="1:35">
      <c r="A49" s="3"/>
      <c r="B49" s="368"/>
      <c r="C49" s="532">
        <v>0</v>
      </c>
      <c r="D49" s="531">
        <v>0</v>
      </c>
      <c r="E49" s="15"/>
      <c r="F49" s="483"/>
      <c r="G49" s="15"/>
      <c r="H49" s="15"/>
      <c r="I49" s="15"/>
      <c r="J49" s="15"/>
      <c r="K49" s="20"/>
      <c r="N49"/>
      <c r="O49"/>
      <c r="AE49" s="36"/>
      <c r="AF49" s="36"/>
    </row>
    <row r="50" spans="1:35" ht="15.75" thickBot="1">
      <c r="A50" s="3"/>
      <c r="B50" s="368"/>
      <c r="C50" s="533"/>
      <c r="D50" s="534"/>
      <c r="E50" s="15"/>
      <c r="F50" s="15"/>
      <c r="G50" s="15"/>
      <c r="H50" s="15"/>
      <c r="I50" s="15"/>
      <c r="J50" s="15"/>
      <c r="K50" s="20"/>
      <c r="N50"/>
      <c r="O50"/>
      <c r="AE50" s="36"/>
      <c r="AF50" s="36"/>
    </row>
    <row r="51" spans="1:35" ht="15.75" thickBot="1">
      <c r="A51" s="3"/>
      <c r="B51" s="369" t="s">
        <v>66</v>
      </c>
      <c r="C51" s="535">
        <f>SUM(C39:C50)</f>
        <v>4664236.9399999995</v>
      </c>
      <c r="D51" s="535">
        <f>SUM(D39:D50)</f>
        <v>7768011.4100000001</v>
      </c>
      <c r="E51" s="272"/>
      <c r="F51" s="718" t="str">
        <f ca="1">+IF((ROUND(C51,0)=ROUND(OFFSET(B33,0,RIGHT('Data Entry'!$C$16,LEN('Data Entry'!$C$16)-1),1,1),0)),"OK: Data match","Warning:  Cumulative Budget data do not match")</f>
        <v>OK: Data match</v>
      </c>
      <c r="G51" s="719"/>
      <c r="H51" s="719"/>
      <c r="I51" s="720"/>
      <c r="J51" s="202"/>
      <c r="K51" s="202"/>
      <c r="L51" s="202"/>
      <c r="M51" s="211"/>
      <c r="N51" s="212"/>
      <c r="O51" s="210"/>
      <c r="P51" s="208"/>
      <c r="AE51" s="36"/>
      <c r="AF51" s="36"/>
    </row>
    <row r="52" spans="1:35">
      <c r="A52" s="3"/>
      <c r="B52" s="3"/>
      <c r="C52" s="202"/>
      <c r="D52" s="202"/>
      <c r="E52" s="255"/>
      <c r="F52" s="202"/>
      <c r="G52" s="202"/>
      <c r="H52" s="202"/>
      <c r="I52" s="202"/>
      <c r="J52" s="202"/>
      <c r="K52" s="202"/>
      <c r="L52" s="202"/>
      <c r="M52" s="202"/>
      <c r="N52" s="202"/>
      <c r="O52" s="202"/>
      <c r="P52" s="211"/>
      <c r="Q52" s="212"/>
      <c r="R52" s="210"/>
      <c r="S52" s="208"/>
    </row>
    <row r="53" spans="1:35" ht="18.75">
      <c r="A53" s="3"/>
      <c r="B53" s="90" t="s">
        <v>360</v>
      </c>
      <c r="C53" s="3"/>
      <c r="D53" s="3"/>
      <c r="E53" s="3"/>
      <c r="F53" s="3"/>
      <c r="G53" s="3"/>
      <c r="H53" s="3"/>
      <c r="I53" s="3"/>
      <c r="J53" s="3"/>
      <c r="K53" s="3"/>
      <c r="L53" s="3"/>
      <c r="M53" s="3"/>
      <c r="P53" s="208"/>
      <c r="Q53" s="209"/>
      <c r="R53" s="210">
        <f>+J33</f>
        <v>0</v>
      </c>
      <c r="S53" s="208"/>
    </row>
    <row r="54" spans="1:35" ht="15.75" thickBot="1">
      <c r="A54" s="3"/>
      <c r="B54" s="3"/>
      <c r="C54" s="3"/>
      <c r="D54" s="3"/>
      <c r="E54" s="3"/>
      <c r="F54" s="3"/>
      <c r="G54" s="3"/>
      <c r="H54" s="3"/>
      <c r="I54" s="3"/>
      <c r="J54" s="3"/>
      <c r="K54" s="3"/>
      <c r="L54" s="3"/>
      <c r="M54" s="3"/>
      <c r="P54" s="208"/>
      <c r="Q54" s="209"/>
      <c r="R54" s="210">
        <f>+K33</f>
        <v>0</v>
      </c>
      <c r="S54" s="208"/>
    </row>
    <row r="55" spans="1:35" ht="35.25" customHeight="1">
      <c r="A55" s="3"/>
      <c r="B55" s="278"/>
      <c r="C55" s="279" t="s">
        <v>358</v>
      </c>
      <c r="D55" s="279" t="s">
        <v>359</v>
      </c>
      <c r="E55" s="384" t="str">
        <f>CONCATENATE("Totals (in ",D26,")")</f>
        <v>Totals (in $)</v>
      </c>
      <c r="F55" s="3"/>
      <c r="G55" s="464" t="s">
        <v>416</v>
      </c>
      <c r="H55" s="275"/>
      <c r="I55" s="262"/>
      <c r="J55" s="262"/>
      <c r="K55" s="262"/>
      <c r="L55" s="262"/>
      <c r="M55" s="22"/>
      <c r="N55" s="22"/>
      <c r="O55" s="208"/>
      <c r="P55" s="209"/>
      <c r="Q55" s="210">
        <f>+M33</f>
        <v>0</v>
      </c>
      <c r="R55" s="208"/>
      <c r="AH55" s="20"/>
    </row>
    <row r="56" spans="1:35">
      <c r="A56" s="3"/>
      <c r="B56" s="276" t="s">
        <v>313</v>
      </c>
      <c r="C56" s="358">
        <v>0</v>
      </c>
      <c r="D56" s="536">
        <v>6719929</v>
      </c>
      <c r="E56" s="537">
        <f>+D56+C56</f>
        <v>6719929</v>
      </c>
      <c r="F56" s="3"/>
      <c r="G56" s="465"/>
      <c r="H56" s="275"/>
      <c r="I56" s="96"/>
      <c r="J56" s="205"/>
      <c r="K56" s="206"/>
      <c r="L56" s="97"/>
      <c r="M56" s="37"/>
      <c r="N56" s="37"/>
      <c r="O56" s="208"/>
      <c r="P56" s="208"/>
      <c r="Q56" s="208"/>
      <c r="R56" s="208"/>
      <c r="AH56" s="20"/>
    </row>
    <row r="57" spans="1:35">
      <c r="A57" s="3"/>
      <c r="B57" s="276" t="s">
        <v>491</v>
      </c>
      <c r="C57" s="358">
        <v>824296.95999999996</v>
      </c>
      <c r="D57" s="536">
        <v>6943714.4499999993</v>
      </c>
      <c r="E57" s="537">
        <f>+D57+C57</f>
        <v>7768011.4099999992</v>
      </c>
      <c r="F57" s="3"/>
      <c r="G57" s="466"/>
      <c r="H57" s="275"/>
      <c r="I57" s="96"/>
      <c r="J57" s="205"/>
      <c r="K57" s="205"/>
      <c r="L57" s="97"/>
      <c r="M57" s="38"/>
      <c r="N57" s="38"/>
      <c r="O57" s="208"/>
      <c r="P57" s="208"/>
      <c r="Q57" s="208"/>
      <c r="R57" s="208"/>
      <c r="AH57" s="20"/>
    </row>
    <row r="58" spans="1:35">
      <c r="A58" s="3"/>
      <c r="B58" s="276" t="s">
        <v>275</v>
      </c>
      <c r="C58" s="358">
        <v>0</v>
      </c>
      <c r="D58" s="358">
        <v>0</v>
      </c>
      <c r="E58" s="359">
        <f>+D58+C58</f>
        <v>0</v>
      </c>
      <c r="F58" s="3"/>
      <c r="G58" s="466"/>
      <c r="H58" s="280"/>
      <c r="I58" s="96"/>
      <c r="J58" s="205"/>
      <c r="K58" s="206"/>
      <c r="L58" s="97"/>
      <c r="M58" s="37"/>
      <c r="N58" s="37"/>
      <c r="O58"/>
      <c r="AH58" s="20"/>
    </row>
    <row r="59" spans="1:35" ht="15.75" thickBot="1">
      <c r="A59" s="3"/>
      <c r="B59" s="277" t="s">
        <v>276</v>
      </c>
      <c r="C59" s="360">
        <v>0</v>
      </c>
      <c r="D59" s="360">
        <v>0</v>
      </c>
      <c r="E59" s="361">
        <f>+D59+C59</f>
        <v>0</v>
      </c>
      <c r="F59" s="3"/>
      <c r="G59" s="467"/>
      <c r="H59" s="281"/>
      <c r="I59" s="98"/>
      <c r="J59" s="98"/>
      <c r="K59" s="98"/>
      <c r="L59" s="97"/>
      <c r="M59" s="38"/>
      <c r="N59" s="38"/>
      <c r="O59"/>
      <c r="AH59" s="20"/>
    </row>
    <row r="60" spans="1:35" ht="15.75" customHeight="1">
      <c r="A60" s="3"/>
      <c r="B60" s="3"/>
      <c r="C60" s="3"/>
      <c r="D60" s="3"/>
      <c r="E60" s="3"/>
      <c r="F60" s="3"/>
      <c r="G60" s="3"/>
      <c r="H60" s="3"/>
      <c r="I60" s="3"/>
      <c r="J60" s="3"/>
      <c r="K60" s="3"/>
      <c r="L60" s="3"/>
      <c r="M60" s="3"/>
      <c r="AI60" s="20"/>
    </row>
    <row r="61" spans="1:35">
      <c r="A61" s="3"/>
      <c r="B61" s="3"/>
      <c r="C61" s="3"/>
      <c r="D61" s="260"/>
      <c r="E61" s="3"/>
      <c r="F61" s="3"/>
      <c r="G61" s="3"/>
      <c r="H61" s="3"/>
      <c r="I61" s="3"/>
      <c r="J61" s="3"/>
      <c r="K61" s="3"/>
      <c r="L61" s="3"/>
      <c r="M61" s="3"/>
    </row>
    <row r="62" spans="1:35" ht="18.75">
      <c r="A62" s="3"/>
      <c r="B62" s="90" t="s">
        <v>362</v>
      </c>
      <c r="C62" s="3"/>
      <c r="D62" s="3"/>
      <c r="E62" s="3"/>
      <c r="F62" s="3"/>
      <c r="G62" s="3"/>
      <c r="H62" s="3"/>
      <c r="I62" s="3"/>
      <c r="J62" s="3"/>
      <c r="K62" s="3"/>
      <c r="L62" s="3"/>
      <c r="M62" s="3"/>
    </row>
    <row r="63" spans="1:35" ht="15.75" thickBot="1">
      <c r="A63" s="3"/>
      <c r="B63" s="3"/>
      <c r="C63" s="3"/>
      <c r="D63" s="3"/>
      <c r="E63" s="3"/>
      <c r="F63" s="3"/>
      <c r="G63" s="3"/>
      <c r="H63" s="3"/>
      <c r="I63" s="3"/>
      <c r="J63" s="3"/>
      <c r="K63" s="3"/>
      <c r="L63" s="3"/>
      <c r="M63" s="3"/>
    </row>
    <row r="64" spans="1:35">
      <c r="A64" s="3"/>
      <c r="B64" s="647" t="s">
        <v>335</v>
      </c>
      <c r="C64" s="648"/>
      <c r="D64" s="649"/>
      <c r="E64" s="3"/>
      <c r="F64" s="3"/>
      <c r="G64" s="3"/>
      <c r="H64" s="3"/>
      <c r="I64" s="3"/>
      <c r="J64" s="3"/>
      <c r="K64" s="3"/>
      <c r="L64" s="3"/>
      <c r="M64" s="36"/>
      <c r="O64"/>
    </row>
    <row r="65" spans="1:30">
      <c r="A65" s="3"/>
      <c r="B65" s="102"/>
      <c r="C65" s="283" t="s">
        <v>67</v>
      </c>
      <c r="D65" s="284" t="s">
        <v>68</v>
      </c>
      <c r="E65" s="3"/>
      <c r="F65" s="3"/>
      <c r="G65" s="3"/>
      <c r="H65" s="3"/>
      <c r="I65" s="3"/>
      <c r="J65" s="3"/>
      <c r="K65" s="3"/>
      <c r="L65" s="3"/>
      <c r="M65" s="36"/>
      <c r="O65"/>
    </row>
    <row r="66" spans="1:30">
      <c r="A66" s="3"/>
      <c r="B66" s="103" t="s">
        <v>6</v>
      </c>
      <c r="C66" s="342">
        <v>45</v>
      </c>
      <c r="D66" s="342">
        <v>45</v>
      </c>
      <c r="E66" s="3" t="s">
        <v>428</v>
      </c>
      <c r="F66" s="3"/>
      <c r="G66" s="3"/>
      <c r="H66" s="3"/>
      <c r="I66" s="3"/>
      <c r="J66" s="3"/>
      <c r="K66" s="3"/>
      <c r="L66" s="3"/>
      <c r="M66" s="36"/>
      <c r="O66"/>
    </row>
    <row r="67" spans="1:30">
      <c r="A67" s="3"/>
      <c r="B67" s="282" t="s">
        <v>346</v>
      </c>
      <c r="C67" s="342">
        <v>45</v>
      </c>
      <c r="D67" s="342" t="s">
        <v>492</v>
      </c>
      <c r="E67" s="3" t="s">
        <v>396</v>
      </c>
      <c r="F67" s="3"/>
      <c r="G67" s="3"/>
      <c r="H67" s="280"/>
      <c r="I67" s="280"/>
      <c r="J67" s="3"/>
      <c r="K67" s="3"/>
      <c r="L67" s="3"/>
      <c r="M67" s="36"/>
      <c r="O67"/>
    </row>
    <row r="68" spans="1:30" ht="15.75" thickBot="1">
      <c r="A68" s="3"/>
      <c r="B68" s="104" t="s">
        <v>347</v>
      </c>
      <c r="C68" s="343"/>
      <c r="D68" s="344"/>
      <c r="E68" s="446" t="s">
        <v>397</v>
      </c>
      <c r="F68" s="3"/>
      <c r="G68" s="3"/>
      <c r="H68" s="280"/>
      <c r="I68" s="280"/>
      <c r="J68" s="3"/>
      <c r="K68" s="3"/>
      <c r="L68" s="3"/>
      <c r="M68" s="36"/>
      <c r="O68"/>
    </row>
    <row r="69" spans="1:30">
      <c r="A69" s="3"/>
      <c r="B69" s="3"/>
      <c r="C69" s="3"/>
      <c r="D69" s="3"/>
      <c r="E69" s="3"/>
      <c r="F69" s="3"/>
      <c r="G69" s="3"/>
      <c r="H69" s="3"/>
      <c r="I69" s="3"/>
      <c r="J69" s="3"/>
      <c r="K69" s="3"/>
      <c r="L69" s="3"/>
      <c r="M69" s="3"/>
    </row>
    <row r="70" spans="1:30" ht="15.75" thickBot="1">
      <c r="A70" s="3"/>
      <c r="B70" s="3"/>
      <c r="C70" s="3"/>
      <c r="D70" s="3"/>
      <c r="E70" s="3"/>
      <c r="F70" s="3"/>
      <c r="G70" s="3"/>
      <c r="H70" s="3"/>
      <c r="I70" s="3"/>
      <c r="J70" s="3"/>
      <c r="K70" s="3"/>
      <c r="L70" s="380"/>
      <c r="M70" s="3"/>
      <c r="AC70" s="19"/>
      <c r="AD70" s="19"/>
    </row>
    <row r="71" spans="1:30" ht="19.5" thickBot="1">
      <c r="A71" s="3"/>
      <c r="B71" s="105" t="s">
        <v>269</v>
      </c>
      <c r="C71" s="106"/>
      <c r="D71" s="106"/>
      <c r="E71" s="106"/>
      <c r="F71" s="106"/>
      <c r="G71" s="106"/>
      <c r="H71" s="304" t="s">
        <v>306</v>
      </c>
      <c r="I71" s="106"/>
      <c r="J71" s="107"/>
      <c r="K71" s="107"/>
      <c r="L71" s="381"/>
      <c r="M71" s="382"/>
      <c r="N71" s="84"/>
      <c r="O71" s="84"/>
      <c r="P71" s="84"/>
      <c r="S71" s="44"/>
      <c r="AC71" s="19"/>
      <c r="AD71" s="19"/>
    </row>
    <row r="72" spans="1:30" ht="18.75">
      <c r="A72" s="3"/>
      <c r="B72" s="109"/>
      <c r="C72" s="108"/>
      <c r="D72" s="108"/>
      <c r="E72" s="108"/>
      <c r="F72" s="108"/>
      <c r="G72" s="108"/>
      <c r="H72" s="108"/>
      <c r="I72" s="108"/>
      <c r="J72" s="108"/>
      <c r="K72" s="110"/>
      <c r="L72" s="110"/>
      <c r="M72" s="108"/>
      <c r="N72" s="84"/>
      <c r="O72" s="84"/>
      <c r="P72" s="84"/>
      <c r="S72" s="44"/>
      <c r="AC72" s="19"/>
      <c r="AD72" s="19"/>
    </row>
    <row r="73" spans="1:30" ht="18.75">
      <c r="A73" s="3"/>
      <c r="B73" s="109" t="s">
        <v>363</v>
      </c>
      <c r="C73" s="108"/>
      <c r="D73" s="108"/>
      <c r="E73" s="491" t="s">
        <v>429</v>
      </c>
      <c r="F73" s="492">
        <f>G16</f>
        <v>42185</v>
      </c>
      <c r="G73" s="108"/>
      <c r="H73" s="108"/>
      <c r="I73" s="108"/>
      <c r="J73" s="108"/>
      <c r="K73" s="110"/>
      <c r="L73" s="110"/>
      <c r="M73" s="108"/>
      <c r="N73" s="84"/>
      <c r="O73" s="84"/>
      <c r="P73" s="84"/>
      <c r="S73" s="44"/>
      <c r="AC73" s="19"/>
      <c r="AD73" s="19"/>
    </row>
    <row r="74" spans="1:30" ht="15.75" thickBot="1">
      <c r="A74" s="3"/>
      <c r="B74" s="2"/>
      <c r="C74" s="111"/>
      <c r="D74" s="111"/>
      <c r="E74" s="111"/>
      <c r="F74" s="111"/>
      <c r="G74" s="111"/>
      <c r="H74" s="2"/>
      <c r="I74" s="111"/>
      <c r="J74" s="2"/>
      <c r="K74" s="2"/>
      <c r="L74" s="2"/>
      <c r="M74" s="2"/>
      <c r="N74" s="20"/>
      <c r="O74" s="19"/>
      <c r="P74" s="19"/>
      <c r="Q74" s="19"/>
      <c r="R74" s="19"/>
      <c r="S74" s="19"/>
      <c r="AD74" s="19"/>
    </row>
    <row r="75" spans="1:30" ht="30">
      <c r="A75" s="3"/>
      <c r="B75" s="689"/>
      <c r="C75" s="690"/>
      <c r="D75" s="113" t="s">
        <v>123</v>
      </c>
      <c r="E75" s="114" t="s">
        <v>299</v>
      </c>
      <c r="F75" s="114" t="s">
        <v>124</v>
      </c>
      <c r="G75" s="115" t="s">
        <v>66</v>
      </c>
      <c r="H75" s="292"/>
      <c r="I75" s="502"/>
      <c r="J75" s="15"/>
      <c r="K75" s="2"/>
      <c r="L75" s="2"/>
      <c r="M75" s="2"/>
      <c r="N75" s="20"/>
      <c r="O75" s="19"/>
      <c r="P75" s="19"/>
      <c r="Q75" s="19"/>
      <c r="R75" s="19"/>
      <c r="S75" s="19"/>
    </row>
    <row r="76" spans="1:30">
      <c r="A76" s="3"/>
      <c r="B76" s="698" t="s">
        <v>417</v>
      </c>
      <c r="C76" s="699"/>
      <c r="D76" s="246">
        <v>0</v>
      </c>
      <c r="E76" s="246">
        <v>0</v>
      </c>
      <c r="F76" s="246">
        <v>0</v>
      </c>
      <c r="G76" s="117">
        <f>SUM(D76:F76)</f>
        <v>0</v>
      </c>
      <c r="H76" s="274"/>
      <c r="I76" s="291"/>
      <c r="J76" s="291"/>
      <c r="K76" s="2"/>
      <c r="L76" s="2"/>
      <c r="M76" s="2"/>
      <c r="N76" s="20"/>
      <c r="O76" s="19"/>
      <c r="P76" s="19"/>
      <c r="Q76" s="19"/>
      <c r="R76" s="19"/>
      <c r="S76" s="19"/>
    </row>
    <row r="77" spans="1:30" ht="15.75" thickBot="1">
      <c r="A77" s="3"/>
      <c r="B77" s="658" t="s">
        <v>18</v>
      </c>
      <c r="C77" s="659"/>
      <c r="D77" s="247">
        <v>0</v>
      </c>
      <c r="E77" s="247">
        <v>0</v>
      </c>
      <c r="F77" s="247">
        <v>0</v>
      </c>
      <c r="G77" s="119">
        <v>0</v>
      </c>
      <c r="H77" s="274"/>
      <c r="I77" s="15"/>
      <c r="J77" s="15"/>
      <c r="K77" s="2"/>
      <c r="L77" s="2"/>
      <c r="M77" s="2"/>
      <c r="N77" s="19"/>
      <c r="O77" s="19"/>
      <c r="P77" s="19"/>
      <c r="Q77" s="19"/>
      <c r="R77" s="19"/>
      <c r="S77" s="19"/>
    </row>
    <row r="78" spans="1:30">
      <c r="A78" s="3"/>
      <c r="B78" s="2"/>
      <c r="C78" s="2"/>
      <c r="D78" s="2"/>
      <c r="E78" s="2"/>
      <c r="F78" s="2"/>
      <c r="G78" s="2"/>
      <c r="H78" s="2"/>
      <c r="I78" s="2"/>
      <c r="J78" s="2"/>
      <c r="K78" s="2"/>
      <c r="L78" s="2"/>
      <c r="M78" s="2"/>
      <c r="N78" s="19"/>
      <c r="O78" s="19"/>
      <c r="P78" s="19"/>
      <c r="Q78" s="19"/>
      <c r="R78" s="19"/>
      <c r="S78" s="19"/>
    </row>
    <row r="79" spans="1:30">
      <c r="A79" s="3"/>
      <c r="B79" s="2"/>
      <c r="C79" s="2"/>
      <c r="D79" s="2"/>
      <c r="E79" s="2"/>
      <c r="F79" s="2"/>
      <c r="G79" s="2"/>
      <c r="H79" s="2"/>
      <c r="I79" s="2"/>
      <c r="J79" s="2"/>
      <c r="K79" s="2"/>
      <c r="L79" s="2"/>
      <c r="M79" s="2"/>
      <c r="N79" s="19"/>
      <c r="O79" s="19"/>
      <c r="P79" s="19"/>
      <c r="S79" s="19"/>
    </row>
    <row r="80" spans="1:30" ht="18.75">
      <c r="A80" s="3"/>
      <c r="B80" s="109" t="s">
        <v>364</v>
      </c>
      <c r="C80" s="2"/>
      <c r="D80" s="491" t="s">
        <v>429</v>
      </c>
      <c r="E80" s="492">
        <f>G16</f>
        <v>42185</v>
      </c>
      <c r="F80" s="2"/>
      <c r="G80" s="2"/>
      <c r="H80" s="2"/>
      <c r="I80" s="2"/>
      <c r="J80" s="2"/>
      <c r="K80" s="2"/>
      <c r="L80" s="2"/>
      <c r="M80" s="2"/>
      <c r="N80" s="19"/>
      <c r="O80" s="19"/>
      <c r="P80" s="19"/>
      <c r="S80" s="19"/>
    </row>
    <row r="81" spans="1:36" ht="15.75" thickBot="1">
      <c r="A81" s="3"/>
      <c r="B81" s="2"/>
      <c r="C81" s="2"/>
      <c r="D81" s="2"/>
      <c r="E81" s="2"/>
      <c r="F81" s="2"/>
      <c r="G81" s="2"/>
      <c r="H81" s="2"/>
      <c r="I81" s="2"/>
      <c r="J81" s="2"/>
      <c r="K81" s="2"/>
      <c r="L81" s="2"/>
      <c r="M81" s="2"/>
      <c r="N81" s="19"/>
      <c r="O81" s="19"/>
      <c r="P81" s="19"/>
      <c r="S81" s="19"/>
    </row>
    <row r="82" spans="1:36">
      <c r="A82" s="3"/>
      <c r="B82" s="120"/>
      <c r="C82" s="112" t="s">
        <v>70</v>
      </c>
      <c r="D82" s="112" t="s">
        <v>88</v>
      </c>
      <c r="E82" s="121" t="s">
        <v>71</v>
      </c>
      <c r="F82" s="15"/>
      <c r="G82" s="15"/>
      <c r="H82" s="15"/>
      <c r="I82" s="484" t="s">
        <v>431</v>
      </c>
      <c r="J82" s="2"/>
      <c r="K82" s="2"/>
      <c r="L82" s="2"/>
      <c r="M82" s="2"/>
      <c r="N82" s="19"/>
      <c r="O82" s="19"/>
      <c r="P82" s="19"/>
      <c r="S82" s="19"/>
    </row>
    <row r="83" spans="1:36" ht="15.75" thickBot="1">
      <c r="A83" s="3"/>
      <c r="B83" s="122" t="s">
        <v>401</v>
      </c>
      <c r="C83" s="331">
        <v>0</v>
      </c>
      <c r="D83" s="331">
        <v>0</v>
      </c>
      <c r="E83" s="332">
        <f>+C83-D83</f>
        <v>0</v>
      </c>
      <c r="F83" s="251"/>
      <c r="G83" s="256"/>
      <c r="H83" s="15"/>
      <c r="I83" s="485" t="s">
        <v>431</v>
      </c>
      <c r="J83" s="2"/>
      <c r="K83" s="2"/>
      <c r="L83" s="2"/>
      <c r="M83" s="2"/>
      <c r="N83" s="19"/>
      <c r="O83" s="19"/>
      <c r="P83" s="19"/>
      <c r="S83" s="19"/>
    </row>
    <row r="84" spans="1:36">
      <c r="A84" s="3"/>
      <c r="B84" s="2"/>
      <c r="C84" s="2"/>
      <c r="D84" s="2"/>
      <c r="E84" s="2"/>
      <c r="F84" s="2"/>
      <c r="G84" s="2"/>
      <c r="H84" s="2"/>
      <c r="I84" s="2"/>
      <c r="J84" s="2"/>
      <c r="K84" s="2"/>
      <c r="L84" s="2"/>
      <c r="M84" s="2"/>
      <c r="N84" s="19"/>
      <c r="O84" s="19"/>
      <c r="P84" s="19"/>
      <c r="S84" s="19"/>
    </row>
    <row r="85" spans="1:36" ht="18.75">
      <c r="A85" s="3"/>
      <c r="B85" s="109" t="s">
        <v>368</v>
      </c>
      <c r="C85" s="2"/>
      <c r="D85" s="2"/>
      <c r="E85" s="2"/>
      <c r="F85" s="491" t="s">
        <v>429</v>
      </c>
      <c r="G85" s="492">
        <f>G16</f>
        <v>42185</v>
      </c>
      <c r="H85" s="2"/>
      <c r="I85" s="2"/>
      <c r="J85" s="2"/>
      <c r="K85" s="2"/>
      <c r="L85" s="2"/>
      <c r="M85" s="2"/>
      <c r="N85" s="19"/>
      <c r="O85" s="19"/>
      <c r="P85" s="19"/>
      <c r="S85" s="19"/>
    </row>
    <row r="86" spans="1:36" ht="15.75" thickBot="1">
      <c r="A86" s="3"/>
      <c r="B86" s="2"/>
      <c r="C86" s="2"/>
      <c r="D86" s="2"/>
      <c r="E86" s="2"/>
      <c r="F86" s="2"/>
      <c r="G86" s="2"/>
      <c r="H86" s="2"/>
      <c r="I86" s="2"/>
      <c r="J86" s="2"/>
      <c r="K86" s="2"/>
      <c r="L86" s="2"/>
      <c r="M86" s="2"/>
      <c r="N86" s="19"/>
      <c r="O86" s="19"/>
      <c r="P86" s="19"/>
      <c r="S86" s="19"/>
    </row>
    <row r="87" spans="1:36" ht="30">
      <c r="A87" s="3"/>
      <c r="B87" s="120"/>
      <c r="C87" s="112" t="s">
        <v>295</v>
      </c>
      <c r="D87" s="112" t="s">
        <v>74</v>
      </c>
      <c r="E87" s="112" t="s">
        <v>89</v>
      </c>
      <c r="F87" s="112" t="s">
        <v>75</v>
      </c>
      <c r="G87" s="150" t="s">
        <v>125</v>
      </c>
      <c r="H87" s="257"/>
      <c r="I87" s="484" t="s">
        <v>432</v>
      </c>
      <c r="J87" s="2"/>
      <c r="K87" s="2"/>
      <c r="L87" s="2"/>
      <c r="M87" s="2"/>
      <c r="N87" s="19"/>
      <c r="O87" s="19"/>
      <c r="P87" s="19"/>
      <c r="S87" s="19"/>
    </row>
    <row r="88" spans="1:36" ht="15.75" thickBot="1">
      <c r="A88" s="3"/>
      <c r="B88" s="122" t="s">
        <v>133</v>
      </c>
      <c r="C88" s="331">
        <v>0</v>
      </c>
      <c r="D88" s="331">
        <v>0</v>
      </c>
      <c r="E88" s="331">
        <v>0</v>
      </c>
      <c r="F88" s="331">
        <v>0</v>
      </c>
      <c r="G88" s="333">
        <v>0</v>
      </c>
      <c r="H88" s="293"/>
      <c r="I88" s="485" t="s">
        <v>431</v>
      </c>
      <c r="J88" s="2"/>
      <c r="K88" s="2"/>
      <c r="L88" s="2"/>
      <c r="M88" s="2"/>
      <c r="N88" s="19"/>
      <c r="O88" s="19"/>
      <c r="P88" s="19"/>
      <c r="S88" s="19"/>
    </row>
    <row r="89" spans="1:36">
      <c r="A89" s="3"/>
      <c r="B89" s="2"/>
      <c r="C89" s="2"/>
      <c r="D89" s="2"/>
      <c r="E89" s="2"/>
      <c r="F89" s="2"/>
      <c r="G89" s="2"/>
      <c r="H89" s="2"/>
      <c r="J89" s="2"/>
      <c r="K89" s="2"/>
      <c r="L89" s="2"/>
      <c r="M89" s="2"/>
      <c r="N89" s="19"/>
      <c r="O89" s="19"/>
      <c r="P89" s="19"/>
      <c r="S89" s="19"/>
    </row>
    <row r="90" spans="1:36" ht="18.75">
      <c r="A90" s="3"/>
      <c r="B90" s="109" t="s">
        <v>400</v>
      </c>
      <c r="C90" s="2"/>
      <c r="D90" s="2"/>
      <c r="E90" s="493" t="s">
        <v>430</v>
      </c>
      <c r="F90" s="494">
        <f>G16</f>
        <v>42185</v>
      </c>
      <c r="G90" s="2"/>
      <c r="H90" s="2"/>
      <c r="I90" s="2"/>
      <c r="J90" s="2"/>
      <c r="K90" s="2"/>
      <c r="L90" s="2"/>
      <c r="M90" s="2"/>
      <c r="N90" s="19"/>
      <c r="O90" s="19"/>
      <c r="P90" s="19"/>
      <c r="S90" s="19"/>
    </row>
    <row r="91" spans="1:36" ht="15.75" thickBot="1">
      <c r="A91" s="3"/>
      <c r="B91" s="2"/>
      <c r="C91" s="2"/>
      <c r="D91" s="2"/>
      <c r="E91" s="2"/>
      <c r="F91" s="2"/>
      <c r="G91" s="2"/>
      <c r="H91" s="2"/>
      <c r="I91" s="2"/>
      <c r="J91" s="2"/>
      <c r="K91" s="2"/>
      <c r="L91" s="2"/>
      <c r="M91" s="2"/>
      <c r="N91" s="19"/>
      <c r="O91" s="19"/>
      <c r="P91" s="19"/>
      <c r="S91" s="19"/>
    </row>
    <row r="92" spans="1:36">
      <c r="A92" s="3"/>
      <c r="B92" s="120"/>
      <c r="C92" s="123" t="s">
        <v>72</v>
      </c>
      <c r="D92" s="123" t="s">
        <v>73</v>
      </c>
      <c r="E92" s="124" t="s">
        <v>293</v>
      </c>
      <c r="F92" s="2"/>
      <c r="G92" s="2"/>
      <c r="H92" s="2"/>
      <c r="I92" s="2"/>
      <c r="J92" s="19"/>
      <c r="K92" s="19"/>
      <c r="L92" s="19"/>
      <c r="N92"/>
      <c r="O92" s="19"/>
      <c r="AG92" s="36"/>
      <c r="AJ92"/>
    </row>
    <row r="93" spans="1:36">
      <c r="A93" s="3"/>
      <c r="B93" s="116" t="s">
        <v>369</v>
      </c>
      <c r="C93" s="246">
        <v>0</v>
      </c>
      <c r="D93" s="248">
        <v>0</v>
      </c>
      <c r="E93" s="294">
        <f>C93-D93</f>
        <v>0</v>
      </c>
      <c r="F93" s="2"/>
      <c r="G93" s="2"/>
      <c r="H93" s="2"/>
      <c r="I93" s="484" t="s">
        <v>431</v>
      </c>
      <c r="J93" s="19"/>
      <c r="K93" s="19"/>
      <c r="L93" s="19"/>
      <c r="N93"/>
      <c r="O93" s="19"/>
      <c r="AG93" s="36"/>
      <c r="AJ93"/>
    </row>
    <row r="94" spans="1:36" ht="15.75" thickBot="1">
      <c r="A94" s="3"/>
      <c r="B94" s="118" t="s">
        <v>370</v>
      </c>
      <c r="C94" s="247">
        <v>0</v>
      </c>
      <c r="D94" s="295">
        <v>0</v>
      </c>
      <c r="E94" s="294">
        <f>C94-D94</f>
        <v>0</v>
      </c>
      <c r="F94" s="2"/>
      <c r="G94" s="2" t="str">
        <f>+IF((ROUND(G88,0)=ROUND(C94,0)),"OK: SR data match.","Warning: check SR data in M3 and M4.")</f>
        <v>OK: SR data match.</v>
      </c>
      <c r="H94" s="2"/>
      <c r="I94" s="485" t="s">
        <v>431</v>
      </c>
      <c r="J94" s="19"/>
      <c r="K94" s="19"/>
      <c r="L94" s="19"/>
      <c r="N94"/>
      <c r="O94" s="19"/>
      <c r="AG94" s="36"/>
      <c r="AJ94"/>
    </row>
    <row r="95" spans="1:36">
      <c r="A95" s="3"/>
      <c r="B95" s="2"/>
      <c r="C95" s="2"/>
      <c r="D95" s="2"/>
      <c r="E95" s="2"/>
      <c r="F95" s="2"/>
      <c r="G95" s="2"/>
      <c r="H95" s="2"/>
      <c r="I95" s="2"/>
      <c r="J95" s="2"/>
      <c r="K95" s="2"/>
      <c r="L95" s="2"/>
      <c r="M95" s="2"/>
      <c r="N95" s="19"/>
      <c r="O95" s="19"/>
      <c r="P95" s="19"/>
      <c r="S95" s="19"/>
    </row>
    <row r="96" spans="1:36" ht="18.75">
      <c r="A96" s="3"/>
      <c r="B96" s="109" t="s">
        <v>371</v>
      </c>
      <c r="C96" s="2"/>
      <c r="D96" s="2"/>
      <c r="E96" s="2"/>
      <c r="F96" s="2"/>
      <c r="G96" s="2"/>
      <c r="H96" s="2"/>
      <c r="I96" s="2"/>
      <c r="J96" s="2"/>
      <c r="K96" s="2"/>
      <c r="L96" s="2"/>
      <c r="M96" s="2"/>
      <c r="N96" s="19"/>
      <c r="O96" s="19"/>
      <c r="P96" s="19"/>
      <c r="S96" s="19"/>
    </row>
    <row r="97" spans="1:19" ht="15.75" thickBot="1">
      <c r="A97" s="3"/>
      <c r="B97" s="2"/>
      <c r="C97" s="413" t="str">
        <f>C28</f>
        <v>Jan-Mar 2015</v>
      </c>
      <c r="D97" s="413" t="str">
        <f t="shared" ref="D97:N97" si="7">D28</f>
        <v>Apr - Jun 2015</v>
      </c>
      <c r="E97" s="413" t="str">
        <f t="shared" si="7"/>
        <v>Jul - Sept 2015</v>
      </c>
      <c r="F97" s="413" t="str">
        <f t="shared" si="7"/>
        <v>Oct - Dec 2015</v>
      </c>
      <c r="G97" s="413" t="str">
        <f t="shared" si="7"/>
        <v>Jan - Mar 2016</v>
      </c>
      <c r="H97" s="413" t="str">
        <f t="shared" si="7"/>
        <v>Apr - Jun 2016</v>
      </c>
      <c r="I97" s="413" t="str">
        <f t="shared" si="7"/>
        <v>Jul - Sept 2016</v>
      </c>
      <c r="J97" s="413" t="str">
        <f t="shared" si="7"/>
        <v>Oct - Dec 2016</v>
      </c>
      <c r="K97" s="413" t="str">
        <f t="shared" si="7"/>
        <v>Jan - Mar 2017</v>
      </c>
      <c r="L97" s="413" t="str">
        <f t="shared" si="7"/>
        <v>Apr - Jun 2017</v>
      </c>
      <c r="M97" s="413" t="str">
        <f t="shared" si="7"/>
        <v>Jul - Sept 2017</v>
      </c>
      <c r="N97" s="413" t="str">
        <f t="shared" si="7"/>
        <v>Oct - Dec 2017</v>
      </c>
      <c r="O97" s="20"/>
      <c r="P97" s="20"/>
      <c r="S97" s="19"/>
    </row>
    <row r="98" spans="1:19">
      <c r="A98" s="3"/>
      <c r="B98" s="220"/>
      <c r="C98" s="461" t="str">
        <f>C30</f>
        <v>P1</v>
      </c>
      <c r="D98" s="461" t="str">
        <f t="shared" ref="D98:N98" si="8">D30</f>
        <v>P2</v>
      </c>
      <c r="E98" s="461" t="str">
        <f t="shared" si="8"/>
        <v>P3</v>
      </c>
      <c r="F98" s="461" t="str">
        <f t="shared" si="8"/>
        <v>P4</v>
      </c>
      <c r="G98" s="461" t="str">
        <f t="shared" si="8"/>
        <v>P5</v>
      </c>
      <c r="H98" s="461" t="str">
        <f t="shared" si="8"/>
        <v>P6</v>
      </c>
      <c r="I98" s="461" t="str">
        <f t="shared" si="8"/>
        <v>P7</v>
      </c>
      <c r="J98" s="461" t="str">
        <f t="shared" si="8"/>
        <v>P8</v>
      </c>
      <c r="K98" s="461" t="str">
        <f t="shared" si="8"/>
        <v>P9</v>
      </c>
      <c r="L98" s="461" t="str">
        <f t="shared" si="8"/>
        <v>P10</v>
      </c>
      <c r="M98" s="461" t="str">
        <f t="shared" si="8"/>
        <v>P11</v>
      </c>
      <c r="N98" s="461" t="str">
        <f t="shared" si="8"/>
        <v>P12</v>
      </c>
      <c r="O98" s="20"/>
      <c r="P98" s="20"/>
      <c r="S98" s="19"/>
    </row>
    <row r="99" spans="1:19" ht="15" customHeight="1">
      <c r="A99" s="3"/>
      <c r="B99" s="348" t="s">
        <v>350</v>
      </c>
      <c r="C99" s="334">
        <v>24412.15</v>
      </c>
      <c r="D99" s="334">
        <v>35800.020000000004</v>
      </c>
      <c r="E99" s="334"/>
      <c r="F99" s="334"/>
      <c r="G99" s="334"/>
      <c r="H99" s="334"/>
      <c r="I99" s="334"/>
      <c r="J99" s="334"/>
      <c r="K99" s="334"/>
      <c r="L99" s="334"/>
      <c r="M99" s="334"/>
      <c r="N99" s="334"/>
      <c r="O99" s="20"/>
      <c r="P99" s="20"/>
      <c r="S99" s="19"/>
    </row>
    <row r="100" spans="1:19" ht="15" customHeight="1">
      <c r="A100" s="3"/>
      <c r="B100" s="348" t="s">
        <v>348</v>
      </c>
      <c r="C100" s="334">
        <v>5088011.34</v>
      </c>
      <c r="D100" s="334">
        <v>0</v>
      </c>
      <c r="E100" s="334"/>
      <c r="F100" s="334"/>
      <c r="G100" s="334"/>
      <c r="H100" s="334"/>
      <c r="I100" s="334"/>
      <c r="J100" s="334"/>
      <c r="K100" s="334"/>
      <c r="L100" s="334"/>
      <c r="M100" s="334"/>
      <c r="N100" s="334"/>
      <c r="O100" s="348" t="s">
        <v>348</v>
      </c>
      <c r="P100" s="20"/>
      <c r="S100" s="19"/>
    </row>
    <row r="101" spans="1:19" ht="15" customHeight="1">
      <c r="A101" s="3"/>
      <c r="B101" s="348" t="s">
        <v>314</v>
      </c>
      <c r="C101" s="334">
        <v>29446.19</v>
      </c>
      <c r="D101" s="334">
        <v>5091030.3499999996</v>
      </c>
      <c r="E101" s="334"/>
      <c r="F101" s="334"/>
      <c r="G101" s="334"/>
      <c r="H101" s="334"/>
      <c r="I101" s="334"/>
      <c r="J101" s="334"/>
      <c r="K101" s="334"/>
      <c r="L101" s="334"/>
      <c r="M101" s="334"/>
      <c r="N101" s="334"/>
      <c r="O101" s="348" t="s">
        <v>314</v>
      </c>
      <c r="P101" s="20"/>
      <c r="S101" s="19"/>
    </row>
    <row r="102" spans="1:19" ht="15" customHeight="1">
      <c r="A102" s="3"/>
      <c r="B102" s="296" t="s">
        <v>496</v>
      </c>
      <c r="C102" s="335">
        <f>+C99</f>
        <v>24412.15</v>
      </c>
      <c r="D102" s="335">
        <f t="shared" ref="D102:M102" si="9">+C102+D99</f>
        <v>60212.170000000006</v>
      </c>
      <c r="E102" s="335">
        <f>+D102+E99</f>
        <v>60212.170000000006</v>
      </c>
      <c r="F102" s="335">
        <f t="shared" si="9"/>
        <v>60212.170000000006</v>
      </c>
      <c r="G102" s="335">
        <f t="shared" si="9"/>
        <v>60212.170000000006</v>
      </c>
      <c r="H102" s="335">
        <f t="shared" si="9"/>
        <v>60212.170000000006</v>
      </c>
      <c r="I102" s="335">
        <f t="shared" si="9"/>
        <v>60212.170000000006</v>
      </c>
      <c r="J102" s="335">
        <f t="shared" si="9"/>
        <v>60212.170000000006</v>
      </c>
      <c r="K102" s="335">
        <f t="shared" si="9"/>
        <v>60212.170000000006</v>
      </c>
      <c r="L102" s="522">
        <f>+K102+L99</f>
        <v>60212.170000000006</v>
      </c>
      <c r="M102" s="335">
        <f t="shared" si="9"/>
        <v>60212.170000000006</v>
      </c>
      <c r="N102" s="335">
        <f>+M102+N99</f>
        <v>60212.170000000006</v>
      </c>
      <c r="O102" s="296" t="s">
        <v>350</v>
      </c>
      <c r="P102" s="20"/>
      <c r="S102" s="19"/>
    </row>
    <row r="103" spans="1:19" ht="15" customHeight="1">
      <c r="A103" s="3"/>
      <c r="B103" s="296" t="s">
        <v>10</v>
      </c>
      <c r="C103" s="335">
        <f>+C100</f>
        <v>5088011.34</v>
      </c>
      <c r="D103" s="335">
        <f t="shared" ref="D103:N103" si="10">+C103+D100</f>
        <v>5088011.34</v>
      </c>
      <c r="E103" s="335">
        <f>+D103+E100</f>
        <v>5088011.34</v>
      </c>
      <c r="F103" s="335">
        <f t="shared" si="10"/>
        <v>5088011.34</v>
      </c>
      <c r="G103" s="335">
        <f t="shared" si="10"/>
        <v>5088011.34</v>
      </c>
      <c r="H103" s="335">
        <f t="shared" si="10"/>
        <v>5088011.34</v>
      </c>
      <c r="I103" s="335">
        <f t="shared" si="10"/>
        <v>5088011.34</v>
      </c>
      <c r="J103" s="335">
        <f t="shared" si="10"/>
        <v>5088011.34</v>
      </c>
      <c r="K103" s="335">
        <f t="shared" si="10"/>
        <v>5088011.34</v>
      </c>
      <c r="L103" s="522">
        <f t="shared" si="10"/>
        <v>5088011.34</v>
      </c>
      <c r="M103" s="335">
        <f t="shared" si="10"/>
        <v>5088011.34</v>
      </c>
      <c r="N103" s="335">
        <f t="shared" si="10"/>
        <v>5088011.34</v>
      </c>
      <c r="O103" s="296" t="s">
        <v>10</v>
      </c>
      <c r="P103" s="20"/>
      <c r="S103" s="19"/>
    </row>
    <row r="104" spans="1:19">
      <c r="A104" s="3"/>
      <c r="B104" s="297" t="s">
        <v>11</v>
      </c>
      <c r="C104" s="336">
        <f>+C101</f>
        <v>29446.19</v>
      </c>
      <c r="D104" s="335">
        <f t="shared" ref="D104:N104" si="11">+C104+D101</f>
        <v>5120476.54</v>
      </c>
      <c r="E104" s="335">
        <f>+D104+E101</f>
        <v>5120476.54</v>
      </c>
      <c r="F104" s="335">
        <f t="shared" si="11"/>
        <v>5120476.54</v>
      </c>
      <c r="G104" s="335">
        <f t="shared" si="11"/>
        <v>5120476.54</v>
      </c>
      <c r="H104" s="335">
        <f t="shared" si="11"/>
        <v>5120476.54</v>
      </c>
      <c r="I104" s="335">
        <f t="shared" si="11"/>
        <v>5120476.54</v>
      </c>
      <c r="J104" s="335">
        <f t="shared" si="11"/>
        <v>5120476.54</v>
      </c>
      <c r="K104" s="335">
        <f t="shared" si="11"/>
        <v>5120476.54</v>
      </c>
      <c r="L104" s="522">
        <f t="shared" si="11"/>
        <v>5120476.54</v>
      </c>
      <c r="M104" s="335">
        <f t="shared" si="11"/>
        <v>5120476.54</v>
      </c>
      <c r="N104" s="335">
        <f t="shared" si="11"/>
        <v>5120476.54</v>
      </c>
      <c r="O104" s="297" t="s">
        <v>11</v>
      </c>
      <c r="P104" s="20"/>
      <c r="S104" s="19"/>
    </row>
    <row r="105" spans="1:19">
      <c r="A105" s="3"/>
      <c r="B105" s="3"/>
      <c r="C105" s="2"/>
      <c r="D105" s="2"/>
      <c r="E105" s="2"/>
      <c r="F105" s="2"/>
      <c r="G105" s="2"/>
      <c r="H105" s="2"/>
      <c r="I105" s="15"/>
      <c r="J105" s="125"/>
      <c r="K105" s="126"/>
      <c r="L105" s="15"/>
      <c r="M105" s="127"/>
      <c r="N105" s="20"/>
      <c r="O105" s="20"/>
      <c r="P105" s="20"/>
      <c r="S105" s="19"/>
    </row>
    <row r="106" spans="1:19">
      <c r="A106" s="3"/>
      <c r="B106" s="2" t="s">
        <v>380</v>
      </c>
      <c r="C106" s="2"/>
      <c r="D106" s="2"/>
      <c r="E106" s="2"/>
      <c r="F106" s="2"/>
      <c r="G106" s="2"/>
      <c r="H106" s="503"/>
      <c r="I106" s="15"/>
      <c r="J106" s="125"/>
      <c r="K106" s="126"/>
      <c r="L106" s="15"/>
      <c r="M106" s="127"/>
      <c r="N106" s="20"/>
      <c r="O106" s="20"/>
      <c r="P106" s="20"/>
      <c r="S106" s="19"/>
    </row>
    <row r="107" spans="1:19">
      <c r="A107" s="3"/>
      <c r="C107" s="2"/>
      <c r="D107" s="2"/>
      <c r="E107" s="2"/>
      <c r="F107" s="2"/>
      <c r="G107" s="2"/>
      <c r="H107" s="2"/>
      <c r="I107" s="15"/>
      <c r="J107" s="125"/>
      <c r="K107" s="127"/>
      <c r="L107" s="15"/>
      <c r="M107" s="127"/>
      <c r="N107" s="20"/>
      <c r="O107" s="20"/>
      <c r="P107" s="20"/>
      <c r="S107" s="19"/>
    </row>
    <row r="108" spans="1:19">
      <c r="A108" s="3"/>
      <c r="B108" s="3"/>
      <c r="C108" s="3"/>
      <c r="D108" s="3"/>
      <c r="E108" s="3"/>
      <c r="F108" s="3"/>
      <c r="G108" s="3"/>
      <c r="H108" s="3"/>
      <c r="I108" s="15"/>
      <c r="J108" s="15"/>
      <c r="K108" s="15"/>
      <c r="L108" s="15"/>
      <c r="M108" s="15"/>
      <c r="N108" s="20"/>
      <c r="O108" s="20"/>
      <c r="P108" s="20"/>
    </row>
    <row r="109" spans="1:19" ht="18.75">
      <c r="A109" s="3"/>
      <c r="B109" s="109" t="s">
        <v>365</v>
      </c>
      <c r="C109" s="3"/>
      <c r="D109" s="3"/>
      <c r="E109" s="3"/>
      <c r="F109" s="3"/>
      <c r="G109" s="495" t="s">
        <v>429</v>
      </c>
      <c r="H109" s="496">
        <f>G16</f>
        <v>42185</v>
      </c>
      <c r="I109" s="15"/>
      <c r="J109" s="15"/>
      <c r="K109" s="15"/>
      <c r="L109" s="15"/>
      <c r="M109" s="15"/>
      <c r="N109" s="20"/>
      <c r="O109" s="20"/>
      <c r="P109" s="20"/>
    </row>
    <row r="110" spans="1:19" ht="15.75" thickBot="1">
      <c r="A110" s="3"/>
      <c r="B110" s="3"/>
      <c r="C110" s="15"/>
      <c r="D110" s="15"/>
      <c r="E110" s="15"/>
      <c r="F110" s="15"/>
      <c r="G110" s="2"/>
      <c r="H110" s="2"/>
      <c r="I110" s="2"/>
      <c r="J110" s="15"/>
      <c r="K110" s="2"/>
      <c r="L110" s="15"/>
      <c r="M110" s="15"/>
      <c r="N110" s="20"/>
      <c r="O110" s="20"/>
      <c r="P110" s="20"/>
      <c r="Q110" s="19"/>
      <c r="S110" s="20"/>
    </row>
    <row r="111" spans="1:19" ht="81.75" customHeight="1">
      <c r="A111" s="3"/>
      <c r="B111" s="298" t="s">
        <v>40</v>
      </c>
      <c r="C111" s="299" t="s">
        <v>86</v>
      </c>
      <c r="D111" s="300" t="s">
        <v>420</v>
      </c>
      <c r="E111" s="300" t="s">
        <v>421</v>
      </c>
      <c r="F111" s="300" t="s">
        <v>422</v>
      </c>
      <c r="G111" s="300" t="s">
        <v>423</v>
      </c>
      <c r="H111" s="300" t="s">
        <v>398</v>
      </c>
      <c r="I111" s="300" t="s">
        <v>424</v>
      </c>
      <c r="J111" s="300" t="s">
        <v>331</v>
      </c>
      <c r="K111" s="457" t="s">
        <v>399</v>
      </c>
      <c r="L111" s="2"/>
      <c r="M111" s="20"/>
      <c r="N111" s="20"/>
      <c r="O111" s="20"/>
      <c r="P111" s="19"/>
      <c r="R111" s="20"/>
    </row>
    <row r="112" spans="1:19">
      <c r="A112" s="3"/>
      <c r="B112" s="693" t="s">
        <v>41</v>
      </c>
      <c r="C112" s="371" t="s">
        <v>83</v>
      </c>
      <c r="D112" s="372">
        <v>0</v>
      </c>
      <c r="E112" s="373">
        <f>IF(ISBLANK(D112),"",D112*30)</f>
        <v>0</v>
      </c>
      <c r="F112" s="337">
        <v>0</v>
      </c>
      <c r="G112" s="338" t="str">
        <f>IF(AND(E112&gt;0,F112&gt;0),(F112*E112),"")</f>
        <v/>
      </c>
      <c r="H112" s="337">
        <v>0</v>
      </c>
      <c r="I112" s="388" t="str">
        <f>IF(AND(G112&gt;0,H112&gt;0),H112/G112,"")</f>
        <v/>
      </c>
      <c r="J112" s="374">
        <v>0</v>
      </c>
      <c r="K112" s="389" t="str">
        <f>IF(AND(I112&gt;0,J112&gt;0),I112-J112,"")</f>
        <v/>
      </c>
      <c r="L112" s="2"/>
      <c r="M112" s="20"/>
      <c r="N112" s="20"/>
      <c r="O112" s="20"/>
      <c r="P112" s="19"/>
      <c r="R112" s="20"/>
    </row>
    <row r="113" spans="1:36">
      <c r="A113" s="3"/>
      <c r="B113" s="694"/>
      <c r="C113" s="371" t="s">
        <v>312</v>
      </c>
      <c r="D113" s="472">
        <v>0</v>
      </c>
      <c r="E113" s="473">
        <f>IF(ISBLANK(D113),"",D113*30)</f>
        <v>0</v>
      </c>
      <c r="F113" s="337">
        <v>0</v>
      </c>
      <c r="G113" s="338" t="str">
        <f>IF(AND(E113&gt;0,F113&gt;0),(F113*E113),"")</f>
        <v/>
      </c>
      <c r="H113" s="337">
        <v>0</v>
      </c>
      <c r="I113" s="469" t="str">
        <f>IF(AND(G113&gt;0,H113&gt;0),H113/G113,"")</f>
        <v/>
      </c>
      <c r="J113" s="374">
        <v>0</v>
      </c>
      <c r="K113" s="389" t="str">
        <f>IF(AND(I113&gt;0,J113&gt;0),I113-J113,"")</f>
        <v/>
      </c>
      <c r="L113" s="2"/>
      <c r="M113" s="20"/>
      <c r="N113" s="20"/>
      <c r="O113" s="20"/>
      <c r="P113" s="19"/>
    </row>
    <row r="114" spans="1:36">
      <c r="A114" s="3"/>
      <c r="B114" s="694"/>
      <c r="C114" s="371"/>
      <c r="D114" s="372"/>
      <c r="E114" s="470" t="str">
        <f>IF(ISBLANK(D114),"",D114*30)</f>
        <v/>
      </c>
      <c r="F114" s="337"/>
      <c r="G114" s="338" t="str">
        <f>IF(AND(E114&gt;0,F114&gt;0),(F114*E114),"")</f>
        <v/>
      </c>
      <c r="H114" s="337"/>
      <c r="I114" s="469" t="str">
        <f>IF(AND(G114&gt;0,H114&gt;0),H114/G114,"")</f>
        <v/>
      </c>
      <c r="J114" s="374"/>
      <c r="K114" s="389" t="str">
        <f>IF(AND(I114&gt;0,J114&gt;0),I114-J114,"")</f>
        <v/>
      </c>
      <c r="L114" s="2"/>
      <c r="M114" s="20"/>
      <c r="N114" s="20"/>
      <c r="O114" s="20"/>
      <c r="P114" s="19"/>
      <c r="R114" s="20"/>
    </row>
    <row r="115" spans="1:36" ht="15.75" thickBot="1">
      <c r="A115" s="3"/>
      <c r="B115" s="695"/>
      <c r="C115" s="375"/>
      <c r="D115" s="376"/>
      <c r="E115" s="373" t="str">
        <f>IF(ISBLANK(D115),"",D115*4)</f>
        <v/>
      </c>
      <c r="F115" s="339"/>
      <c r="G115" s="338" t="str">
        <f>IF(AND(E115&gt;0,F115&gt;0),(F115*E115),"")</f>
        <v/>
      </c>
      <c r="H115" s="339"/>
      <c r="I115" s="388" t="str">
        <f>IF(AND(G115&gt;0,H115&gt;0),H115/G115,"")</f>
        <v/>
      </c>
      <c r="J115" s="377"/>
      <c r="K115" s="389" t="str">
        <f>IF(AND(I115&gt;0,J115&gt;0),I115-J115,"")</f>
        <v/>
      </c>
      <c r="L115" s="2"/>
      <c r="M115" s="20"/>
      <c r="N115" s="20"/>
      <c r="O115" s="20"/>
      <c r="P115" s="19"/>
      <c r="R115" s="20"/>
    </row>
    <row r="116" spans="1:36">
      <c r="A116" s="3"/>
      <c r="B116" s="3"/>
      <c r="C116" s="3"/>
      <c r="D116" s="3"/>
      <c r="E116" s="3"/>
      <c r="F116" s="3"/>
      <c r="G116" s="2"/>
      <c r="H116" s="2"/>
      <c r="I116" s="2"/>
      <c r="J116" s="3"/>
      <c r="K116" s="3"/>
      <c r="L116" s="2"/>
      <c r="M116" s="2"/>
      <c r="N116" s="20"/>
      <c r="O116" s="20"/>
      <c r="P116" s="20"/>
      <c r="Q116" s="19"/>
      <c r="S116" s="20"/>
    </row>
    <row r="117" spans="1:36" ht="15.75" thickBot="1">
      <c r="A117" s="3"/>
      <c r="B117" s="3"/>
      <c r="C117" s="3"/>
      <c r="D117" s="3"/>
      <c r="E117" s="3"/>
      <c r="F117" s="3"/>
      <c r="G117" s="3"/>
      <c r="H117" s="3"/>
      <c r="I117" s="2"/>
      <c r="J117" s="108"/>
      <c r="K117" s="108"/>
      <c r="L117" s="3"/>
      <c r="M117" s="3"/>
    </row>
    <row r="118" spans="1:36" ht="19.5" thickBot="1">
      <c r="A118" s="3"/>
      <c r="B118" s="235" t="s">
        <v>372</v>
      </c>
      <c r="C118" s="128"/>
      <c r="D118" s="128"/>
      <c r="E118" s="129"/>
      <c r="F118" s="129"/>
      <c r="G118" s="129"/>
      <c r="H118" s="244"/>
      <c r="I118" s="236"/>
      <c r="J118" s="317"/>
      <c r="K118" s="318" t="s">
        <v>353</v>
      </c>
      <c r="L118" s="129"/>
      <c r="M118" s="319"/>
      <c r="N118" s="320"/>
      <c r="O118" s="320"/>
      <c r="P118" s="379"/>
      <c r="Q118" s="36"/>
    </row>
    <row r="119" spans="1:36" s="539" customFormat="1" ht="15.75" thickBot="1">
      <c r="A119" s="538"/>
      <c r="B119" s="538"/>
      <c r="C119" s="538"/>
      <c r="D119" s="538"/>
      <c r="E119" s="538"/>
      <c r="F119" s="538"/>
      <c r="G119" s="538"/>
      <c r="H119" s="538" t="s">
        <v>520</v>
      </c>
      <c r="I119" s="538" t="s">
        <v>484</v>
      </c>
      <c r="J119" s="538" t="s">
        <v>485</v>
      </c>
      <c r="K119" s="538" t="s">
        <v>486</v>
      </c>
      <c r="L119" s="538" t="s">
        <v>487</v>
      </c>
      <c r="M119" s="538" t="s">
        <v>488</v>
      </c>
      <c r="N119" s="538" t="s">
        <v>489</v>
      </c>
      <c r="O119" s="538" t="s">
        <v>490</v>
      </c>
      <c r="P119" s="538" t="s">
        <v>504</v>
      </c>
      <c r="Q119" s="538" t="s">
        <v>505</v>
      </c>
      <c r="R119" s="538" t="s">
        <v>506</v>
      </c>
      <c r="S119" s="538" t="s">
        <v>507</v>
      </c>
      <c r="AH119" s="540"/>
      <c r="AI119" s="540"/>
      <c r="AJ119" s="540"/>
    </row>
    <row r="120" spans="1:36">
      <c r="A120" s="3"/>
      <c r="B120" s="675" t="s">
        <v>375</v>
      </c>
      <c r="C120" s="676"/>
      <c r="D120" s="677"/>
      <c r="E120" s="303" t="s">
        <v>324</v>
      </c>
      <c r="F120" s="263" t="s">
        <v>333</v>
      </c>
      <c r="G120" s="239"/>
      <c r="H120" s="462" t="str">
        <f>C30</f>
        <v>P1</v>
      </c>
      <c r="I120" s="462" t="str">
        <f t="shared" ref="I120:S120" si="12">D30</f>
        <v>P2</v>
      </c>
      <c r="J120" s="462" t="str">
        <f t="shared" si="12"/>
        <v>P3</v>
      </c>
      <c r="K120" s="462" t="str">
        <f t="shared" si="12"/>
        <v>P4</v>
      </c>
      <c r="L120" s="462" t="str">
        <f t="shared" si="12"/>
        <v>P5</v>
      </c>
      <c r="M120" s="462" t="str">
        <f t="shared" si="12"/>
        <v>P6</v>
      </c>
      <c r="N120" s="462" t="str">
        <f t="shared" si="12"/>
        <v>P7</v>
      </c>
      <c r="O120" s="462" t="str">
        <f t="shared" si="12"/>
        <v>P8</v>
      </c>
      <c r="P120" s="462" t="str">
        <f t="shared" si="12"/>
        <v>P9</v>
      </c>
      <c r="Q120" s="462" t="str">
        <f t="shared" si="12"/>
        <v>P10</v>
      </c>
      <c r="R120" s="462" t="str">
        <f t="shared" si="12"/>
        <v>P11</v>
      </c>
      <c r="S120" s="462" t="str">
        <f t="shared" si="12"/>
        <v>P12</v>
      </c>
      <c r="T120" s="64"/>
    </row>
    <row r="121" spans="1:36" ht="1.5" customHeight="1">
      <c r="A121" s="3"/>
      <c r="B121" s="405"/>
      <c r="C121" s="406"/>
      <c r="D121" s="406"/>
      <c r="E121" s="407"/>
      <c r="F121" s="408"/>
      <c r="G121" s="409"/>
      <c r="H121" s="410"/>
      <c r="I121" s="410"/>
      <c r="J121" s="410"/>
      <c r="K121" s="410"/>
      <c r="L121" s="410"/>
      <c r="M121" s="410"/>
      <c r="N121" s="410"/>
      <c r="O121" s="410"/>
      <c r="P121" s="410"/>
      <c r="Q121" s="410"/>
      <c r="R121" s="410"/>
      <c r="S121" s="411"/>
      <c r="T121" s="64"/>
    </row>
    <row r="122" spans="1:36" ht="15" customHeight="1">
      <c r="A122" s="639" t="s">
        <v>357</v>
      </c>
      <c r="B122" s="643" t="s">
        <v>523</v>
      </c>
      <c r="C122" s="644"/>
      <c r="D122" s="645"/>
      <c r="E122" s="652" t="s">
        <v>450</v>
      </c>
      <c r="F122" s="650" t="s">
        <v>425</v>
      </c>
      <c r="G122" s="241" t="s">
        <v>92</v>
      </c>
      <c r="H122" s="237"/>
      <c r="I122" s="237">
        <v>871071</v>
      </c>
      <c r="J122" s="237"/>
      <c r="K122" s="237"/>
      <c r="L122" s="237"/>
      <c r="M122" s="237"/>
      <c r="N122" s="237"/>
      <c r="O122" s="237"/>
      <c r="P122" s="237"/>
      <c r="Q122" s="237"/>
      <c r="R122" s="237"/>
      <c r="S122" s="237"/>
      <c r="T122" s="443" t="str">
        <f t="shared" ref="T122:T141" si="13">G122</f>
        <v>Target</v>
      </c>
    </row>
    <row r="123" spans="1:36">
      <c r="A123" s="639"/>
      <c r="B123" s="646"/>
      <c r="C123" s="644"/>
      <c r="D123" s="645"/>
      <c r="E123" s="653"/>
      <c r="F123" s="651"/>
      <c r="G123" s="241" t="s">
        <v>93</v>
      </c>
      <c r="H123" s="237"/>
      <c r="I123" s="237">
        <v>771553</v>
      </c>
      <c r="J123" s="237"/>
      <c r="K123" s="237"/>
      <c r="L123" s="237"/>
      <c r="M123" s="237"/>
      <c r="N123" s="237"/>
      <c r="O123" s="237"/>
      <c r="P123" s="237"/>
      <c r="Q123" s="237"/>
      <c r="R123" s="237"/>
      <c r="S123" s="237"/>
      <c r="T123" s="443" t="str">
        <f t="shared" si="13"/>
        <v xml:space="preserve">Achieved </v>
      </c>
    </row>
    <row r="124" spans="1:36" ht="15" customHeight="1">
      <c r="A124" s="639"/>
      <c r="B124" s="660" t="s">
        <v>522</v>
      </c>
      <c r="C124" s="661"/>
      <c r="D124" s="662"/>
      <c r="E124" s="697">
        <v>1.2</v>
      </c>
      <c r="F124" s="696" t="s">
        <v>425</v>
      </c>
      <c r="G124" s="240" t="s">
        <v>92</v>
      </c>
      <c r="H124" s="463"/>
      <c r="I124" s="463">
        <v>141960</v>
      </c>
      <c r="J124" s="463"/>
      <c r="K124" s="463"/>
      <c r="L124" s="463"/>
      <c r="M124" s="463"/>
      <c r="N124" s="463"/>
      <c r="O124" s="463"/>
      <c r="P124" s="463"/>
      <c r="Q124" s="463"/>
      <c r="R124" s="463"/>
      <c r="S124" s="237"/>
      <c r="T124" s="444" t="str">
        <f t="shared" si="13"/>
        <v>Target</v>
      </c>
    </row>
    <row r="125" spans="1:36">
      <c r="A125" s="639"/>
      <c r="B125" s="663"/>
      <c r="C125" s="661"/>
      <c r="D125" s="662"/>
      <c r="E125" s="697"/>
      <c r="F125" s="696"/>
      <c r="G125" s="240" t="s">
        <v>93</v>
      </c>
      <c r="H125" s="463"/>
      <c r="I125" s="463">
        <v>122622</v>
      </c>
      <c r="J125" s="463"/>
      <c r="K125" s="463"/>
      <c r="L125" s="463"/>
      <c r="M125" s="463"/>
      <c r="N125" s="463"/>
      <c r="O125" s="463"/>
      <c r="P125" s="463"/>
      <c r="Q125" s="463"/>
      <c r="R125" s="463"/>
      <c r="S125" s="237"/>
      <c r="T125" s="444" t="str">
        <f t="shared" si="13"/>
        <v xml:space="preserve">Achieved </v>
      </c>
    </row>
    <row r="126" spans="1:36" ht="15" customHeight="1">
      <c r="A126" s="639"/>
      <c r="B126" s="654"/>
      <c r="C126" s="655"/>
      <c r="D126" s="656"/>
      <c r="E126" s="652"/>
      <c r="F126" s="650"/>
      <c r="G126" s="241"/>
      <c r="H126" s="237"/>
      <c r="I126" s="237"/>
      <c r="J126" s="237"/>
      <c r="K126" s="237"/>
      <c r="L126" s="237"/>
      <c r="M126" s="237"/>
      <c r="N126" s="237"/>
      <c r="O126" s="237"/>
      <c r="P126" s="237"/>
      <c r="Q126" s="237"/>
      <c r="R126" s="237"/>
      <c r="S126" s="237"/>
      <c r="T126" s="443">
        <f t="shared" si="13"/>
        <v>0</v>
      </c>
    </row>
    <row r="127" spans="1:36">
      <c r="A127" s="639"/>
      <c r="B127" s="657"/>
      <c r="C127" s="655"/>
      <c r="D127" s="656"/>
      <c r="E127" s="653"/>
      <c r="F127" s="651"/>
      <c r="G127" s="241"/>
      <c r="H127" s="237"/>
      <c r="I127" s="237"/>
      <c r="J127" s="237"/>
      <c r="K127" s="237"/>
      <c r="L127" s="237"/>
      <c r="M127" s="237"/>
      <c r="N127" s="237"/>
      <c r="O127" s="237"/>
      <c r="P127" s="237"/>
      <c r="Q127" s="237"/>
      <c r="R127" s="237"/>
      <c r="S127" s="237"/>
      <c r="T127" s="443">
        <f t="shared" si="13"/>
        <v>0</v>
      </c>
    </row>
    <row r="128" spans="1:36" ht="15" customHeight="1">
      <c r="A128" s="3"/>
      <c r="B128" s="660"/>
      <c r="C128" s="661"/>
      <c r="D128" s="662"/>
      <c r="E128" s="697"/>
      <c r="F128" s="696"/>
      <c r="G128" s="240"/>
      <c r="H128" s="463"/>
      <c r="I128" s="463"/>
      <c r="J128" s="463"/>
      <c r="K128" s="463"/>
      <c r="L128" s="463"/>
      <c r="M128" s="463"/>
      <c r="N128" s="463"/>
      <c r="O128" s="463"/>
      <c r="P128" s="463"/>
      <c r="Q128" s="463"/>
      <c r="R128" s="463"/>
      <c r="S128" s="463"/>
      <c r="T128" s="444">
        <f t="shared" si="13"/>
        <v>0</v>
      </c>
    </row>
    <row r="129" spans="1:20">
      <c r="A129" s="3"/>
      <c r="B129" s="663"/>
      <c r="C129" s="661"/>
      <c r="D129" s="662"/>
      <c r="E129" s="697"/>
      <c r="F129" s="696"/>
      <c r="G129" s="240"/>
      <c r="H129" s="463"/>
      <c r="I129" s="463"/>
      <c r="J129" s="463"/>
      <c r="K129" s="463"/>
      <c r="L129" s="463"/>
      <c r="M129" s="463"/>
      <c r="N129" s="463"/>
      <c r="O129" s="463"/>
      <c r="P129" s="463"/>
      <c r="Q129" s="463"/>
      <c r="R129" s="463"/>
      <c r="S129" s="463"/>
      <c r="T129" s="444">
        <f t="shared" si="13"/>
        <v>0</v>
      </c>
    </row>
    <row r="130" spans="1:20" ht="15" customHeight="1">
      <c r="A130" s="3"/>
      <c r="B130" s="643"/>
      <c r="C130" s="644"/>
      <c r="D130" s="645"/>
      <c r="E130" s="652"/>
      <c r="F130" s="650"/>
      <c r="G130" s="241"/>
      <c r="H130" s="526"/>
      <c r="I130" s="526"/>
      <c r="J130" s="526"/>
      <c r="K130" s="237"/>
      <c r="L130" s="528"/>
      <c r="M130" s="237"/>
      <c r="N130" s="471"/>
      <c r="O130" s="471"/>
      <c r="P130" s="471"/>
      <c r="Q130" s="237"/>
      <c r="R130" s="237"/>
      <c r="S130" s="301"/>
      <c r="T130" s="443">
        <f t="shared" si="13"/>
        <v>0</v>
      </c>
    </row>
    <row r="131" spans="1:20">
      <c r="A131" s="3"/>
      <c r="B131" s="646"/>
      <c r="C131" s="644"/>
      <c r="D131" s="645"/>
      <c r="E131" s="653"/>
      <c r="F131" s="651"/>
      <c r="G131" s="241"/>
      <c r="H131" s="526"/>
      <c r="I131" s="526"/>
      <c r="J131" s="526"/>
      <c r="K131" s="237"/>
      <c r="L131" s="528"/>
      <c r="M131" s="237"/>
      <c r="N131" s="471"/>
      <c r="O131" s="471"/>
      <c r="P131" s="471"/>
      <c r="Q131" s="237"/>
      <c r="R131" s="237"/>
      <c r="S131" s="301"/>
      <c r="T131" s="443">
        <f t="shared" si="13"/>
        <v>0</v>
      </c>
    </row>
    <row r="132" spans="1:20" ht="15" customHeight="1">
      <c r="A132" s="3"/>
      <c r="B132" s="660"/>
      <c r="C132" s="661"/>
      <c r="D132" s="662"/>
      <c r="E132" s="697"/>
      <c r="F132" s="696"/>
      <c r="G132" s="240"/>
      <c r="H132" s="463"/>
      <c r="I132" s="463"/>
      <c r="J132" s="463"/>
      <c r="K132" s="463"/>
      <c r="L132" s="463"/>
      <c r="M132" s="463"/>
      <c r="N132" s="463"/>
      <c r="O132" s="463"/>
      <c r="P132" s="463"/>
      <c r="Q132" s="463"/>
      <c r="R132" s="463"/>
      <c r="S132" s="463"/>
      <c r="T132" s="444">
        <f t="shared" si="13"/>
        <v>0</v>
      </c>
    </row>
    <row r="133" spans="1:20">
      <c r="A133" s="3"/>
      <c r="B133" s="663"/>
      <c r="C133" s="661"/>
      <c r="D133" s="662"/>
      <c r="E133" s="697"/>
      <c r="F133" s="696"/>
      <c r="G133" s="240"/>
      <c r="H133" s="463"/>
      <c r="I133" s="463"/>
      <c r="J133" s="463"/>
      <c r="K133" s="463"/>
      <c r="L133" s="463"/>
      <c r="M133" s="463"/>
      <c r="N133" s="463"/>
      <c r="O133" s="463"/>
      <c r="P133" s="463"/>
      <c r="Q133" s="463"/>
      <c r="R133" s="463"/>
      <c r="S133" s="463"/>
      <c r="T133" s="444">
        <f t="shared" si="13"/>
        <v>0</v>
      </c>
    </row>
    <row r="134" spans="1:20">
      <c r="A134" s="3"/>
      <c r="B134" s="643"/>
      <c r="C134" s="644"/>
      <c r="D134" s="645"/>
      <c r="E134" s="652"/>
      <c r="F134" s="650"/>
      <c r="G134" s="241"/>
      <c r="H134" s="237"/>
      <c r="I134" s="237"/>
      <c r="J134" s="237"/>
      <c r="K134" s="259"/>
      <c r="L134" s="237"/>
      <c r="M134" s="237"/>
      <c r="N134" s="237"/>
      <c r="O134" s="237"/>
      <c r="P134" s="237"/>
      <c r="Q134" s="237"/>
      <c r="R134" s="237"/>
      <c r="S134" s="301"/>
      <c r="T134" s="443">
        <f t="shared" si="13"/>
        <v>0</v>
      </c>
    </row>
    <row r="135" spans="1:20">
      <c r="A135" s="3"/>
      <c r="B135" s="646"/>
      <c r="C135" s="644"/>
      <c r="D135" s="645"/>
      <c r="E135" s="653"/>
      <c r="F135" s="651"/>
      <c r="G135" s="241"/>
      <c r="H135" s="237"/>
      <c r="I135" s="237"/>
      <c r="J135" s="237"/>
      <c r="K135" s="259"/>
      <c r="L135" s="237"/>
      <c r="M135" s="237"/>
      <c r="N135" s="237"/>
      <c r="O135" s="237"/>
      <c r="P135" s="237"/>
      <c r="Q135" s="237"/>
      <c r="R135" s="237"/>
      <c r="S135" s="301"/>
      <c r="T135" s="443">
        <f t="shared" si="13"/>
        <v>0</v>
      </c>
    </row>
    <row r="136" spans="1:20" ht="14.25" customHeight="1">
      <c r="A136" s="3"/>
      <c r="B136" s="660"/>
      <c r="C136" s="661"/>
      <c r="D136" s="662"/>
      <c r="E136" s="697"/>
      <c r="F136" s="688"/>
      <c r="G136" s="240"/>
      <c r="H136" s="463"/>
      <c r="I136" s="463"/>
      <c r="J136" s="463"/>
      <c r="K136" s="463"/>
      <c r="L136" s="463"/>
      <c r="M136" s="463"/>
      <c r="N136" s="463"/>
      <c r="O136" s="463"/>
      <c r="P136" s="463"/>
      <c r="Q136" s="463"/>
      <c r="R136" s="463"/>
      <c r="S136" s="463"/>
      <c r="T136" s="444">
        <f t="shared" si="13"/>
        <v>0</v>
      </c>
    </row>
    <row r="137" spans="1:20">
      <c r="A137" s="3"/>
      <c r="B137" s="663"/>
      <c r="C137" s="661"/>
      <c r="D137" s="662"/>
      <c r="E137" s="697"/>
      <c r="F137" s="688"/>
      <c r="G137" s="240"/>
      <c r="H137" s="463"/>
      <c r="I137" s="463"/>
      <c r="J137" s="463"/>
      <c r="K137" s="463"/>
      <c r="L137" s="463"/>
      <c r="M137" s="463"/>
      <c r="N137" s="463"/>
      <c r="O137" s="463"/>
      <c r="P137" s="463"/>
      <c r="Q137" s="463"/>
      <c r="R137" s="463"/>
      <c r="S137" s="463"/>
      <c r="T137" s="444">
        <f t="shared" si="13"/>
        <v>0</v>
      </c>
    </row>
    <row r="138" spans="1:20" ht="14.25" customHeight="1">
      <c r="A138" s="3"/>
      <c r="B138" s="643"/>
      <c r="C138" s="644"/>
      <c r="D138" s="645"/>
      <c r="E138" s="652"/>
      <c r="F138" s="702"/>
      <c r="G138" s="241"/>
      <c r="H138" s="237"/>
      <c r="I138" s="237"/>
      <c r="J138" s="237"/>
      <c r="K138" s="237"/>
      <c r="L138" s="237"/>
      <c r="M138" s="237"/>
      <c r="N138" s="237"/>
      <c r="O138" s="237"/>
      <c r="P138" s="237"/>
      <c r="Q138" s="237"/>
      <c r="R138" s="237"/>
      <c r="S138" s="301"/>
      <c r="T138" s="443">
        <f t="shared" si="13"/>
        <v>0</v>
      </c>
    </row>
    <row r="139" spans="1:20">
      <c r="A139" s="3"/>
      <c r="B139" s="646"/>
      <c r="C139" s="644"/>
      <c r="D139" s="645"/>
      <c r="E139" s="653"/>
      <c r="F139" s="703"/>
      <c r="G139" s="241"/>
      <c r="H139" s="237"/>
      <c r="I139" s="237"/>
      <c r="J139" s="237"/>
      <c r="K139" s="237"/>
      <c r="L139" s="237"/>
      <c r="M139" s="237"/>
      <c r="N139" s="237"/>
      <c r="O139" s="237"/>
      <c r="P139" s="237"/>
      <c r="Q139" s="237"/>
      <c r="R139" s="237"/>
      <c r="S139" s="301"/>
      <c r="T139" s="443">
        <f t="shared" si="13"/>
        <v>0</v>
      </c>
    </row>
    <row r="140" spans="1:20" ht="14.25" customHeight="1">
      <c r="A140" s="3"/>
      <c r="B140" s="663"/>
      <c r="C140" s="661"/>
      <c r="D140" s="662"/>
      <c r="E140" s="697"/>
      <c r="F140" s="688"/>
      <c r="G140" s="240"/>
      <c r="H140" s="463"/>
      <c r="I140" s="463"/>
      <c r="J140" s="463"/>
      <c r="K140" s="463"/>
      <c r="L140" s="463"/>
      <c r="M140" s="463"/>
      <c r="N140" s="463"/>
      <c r="O140" s="463"/>
      <c r="P140" s="463"/>
      <c r="Q140" s="463"/>
      <c r="R140" s="463"/>
      <c r="S140" s="463"/>
      <c r="T140" s="444">
        <f t="shared" si="13"/>
        <v>0</v>
      </c>
    </row>
    <row r="141" spans="1:20" ht="15.75" thickBot="1">
      <c r="A141" s="3"/>
      <c r="B141" s="712"/>
      <c r="C141" s="713"/>
      <c r="D141" s="714"/>
      <c r="E141" s="704"/>
      <c r="F141" s="705"/>
      <c r="G141" s="302"/>
      <c r="H141" s="463"/>
      <c r="I141" s="463"/>
      <c r="J141" s="463"/>
      <c r="K141" s="463"/>
      <c r="L141" s="463"/>
      <c r="M141" s="463"/>
      <c r="N141" s="463"/>
      <c r="O141" s="463"/>
      <c r="P141" s="463"/>
      <c r="Q141" s="463"/>
      <c r="R141" s="463"/>
      <c r="S141" s="463"/>
      <c r="T141" s="444">
        <f t="shared" si="13"/>
        <v>0</v>
      </c>
    </row>
    <row r="142" spans="1:20">
      <c r="A142" s="3"/>
      <c r="B142" s="3"/>
      <c r="C142" s="3"/>
      <c r="D142" s="3"/>
      <c r="E142" s="3"/>
      <c r="F142" s="3"/>
      <c r="G142" s="2"/>
      <c r="H142" s="3"/>
      <c r="I142" s="3"/>
      <c r="J142" s="3"/>
      <c r="K142" s="3"/>
      <c r="L142" s="3"/>
      <c r="M142" s="3"/>
      <c r="N142" s="3"/>
      <c r="O142" s="3"/>
      <c r="R142" s="36"/>
      <c r="S142" s="36"/>
    </row>
    <row r="143" spans="1:20">
      <c r="A143" s="3"/>
      <c r="B143" s="3"/>
      <c r="C143" s="3"/>
      <c r="D143" s="3"/>
      <c r="E143" s="3"/>
      <c r="F143" s="3"/>
      <c r="G143" s="2"/>
      <c r="H143" s="3"/>
      <c r="I143" s="3"/>
      <c r="J143" s="3"/>
      <c r="K143" s="3"/>
      <c r="L143" s="3"/>
      <c r="M143" s="3"/>
      <c r="N143" s="3"/>
      <c r="O143" s="3"/>
      <c r="R143" s="36"/>
      <c r="S143" s="36"/>
    </row>
    <row r="144" spans="1:20">
      <c r="A144" s="3"/>
      <c r="B144" s="3"/>
      <c r="C144" s="3"/>
      <c r="D144" s="3"/>
      <c r="E144" s="3"/>
      <c r="F144" s="3"/>
      <c r="G144" s="2"/>
      <c r="H144" s="3"/>
      <c r="I144" s="3"/>
      <c r="J144" s="3"/>
      <c r="K144" s="3"/>
      <c r="L144" s="3"/>
      <c r="M144" s="3"/>
      <c r="N144" s="3"/>
      <c r="O144" s="3"/>
      <c r="R144" s="36"/>
      <c r="S144" s="36"/>
    </row>
    <row r="145" spans="1:21" ht="16.5" thickBot="1">
      <c r="A145" s="3"/>
      <c r="B145" s="305"/>
      <c r="C145" s="3"/>
      <c r="D145" s="3"/>
      <c r="E145" s="3"/>
      <c r="F145" s="3"/>
      <c r="G145" s="2"/>
      <c r="H145" s="3"/>
      <c r="I145" s="3"/>
      <c r="J145" s="3"/>
      <c r="K145" s="3"/>
      <c r="L145" s="3"/>
      <c r="M145" s="3"/>
      <c r="N145" s="3"/>
      <c r="O145" s="3"/>
      <c r="R145" s="36"/>
      <c r="S145" s="36"/>
    </row>
    <row r="146" spans="1:21">
      <c r="A146" s="3"/>
      <c r="B146" s="3" t="s">
        <v>381</v>
      </c>
      <c r="C146" s="3"/>
      <c r="D146" s="3"/>
      <c r="E146" s="303" t="s">
        <v>324</v>
      </c>
      <c r="F146" s="263" t="s">
        <v>333</v>
      </c>
      <c r="G146" s="239"/>
      <c r="H146" s="362" t="str">
        <f t="shared" ref="H146:S146" si="14">C30</f>
        <v>P1</v>
      </c>
      <c r="I146" s="362" t="str">
        <f t="shared" si="14"/>
        <v>P2</v>
      </c>
      <c r="J146" s="362" t="str">
        <f t="shared" si="14"/>
        <v>P3</v>
      </c>
      <c r="K146" s="362" t="str">
        <f t="shared" si="14"/>
        <v>P4</v>
      </c>
      <c r="L146" s="362" t="str">
        <f t="shared" si="14"/>
        <v>P5</v>
      </c>
      <c r="M146" s="362" t="str">
        <f t="shared" si="14"/>
        <v>P6</v>
      </c>
      <c r="N146" s="362" t="str">
        <f t="shared" si="14"/>
        <v>P7</v>
      </c>
      <c r="O146" s="362" t="str">
        <f t="shared" si="14"/>
        <v>P8</v>
      </c>
      <c r="P146" s="362" t="str">
        <f t="shared" si="14"/>
        <v>P9</v>
      </c>
      <c r="Q146" s="362" t="str">
        <f t="shared" si="14"/>
        <v>P10</v>
      </c>
      <c r="R146" s="362" t="str">
        <f t="shared" si="14"/>
        <v>P11</v>
      </c>
      <c r="S146" s="362" t="str">
        <f t="shared" si="14"/>
        <v>P12</v>
      </c>
      <c r="T146" s="36"/>
      <c r="U146" s="36"/>
    </row>
    <row r="147" spans="1:21">
      <c r="A147" s="3"/>
      <c r="B147" s="706" t="str">
        <f>IF(ISBLANK(B122),"",(B122))</f>
        <v>Percentage of population in targeted areas sprayed with IRS in the last 12 months</v>
      </c>
      <c r="C147" s="707"/>
      <c r="D147" s="708"/>
      <c r="E147" s="701" t="str">
        <f>IF(ISBLANK(E122),"",(E122))</f>
        <v>1.1</v>
      </c>
      <c r="F147" s="700" t="str">
        <f>IF(ISBLANK(F122),"",(F122))</f>
        <v>YES</v>
      </c>
      <c r="G147" s="326" t="s">
        <v>92</v>
      </c>
      <c r="H147" s="386">
        <f t="shared" ref="H147:S147" si="15">H122</f>
        <v>0</v>
      </c>
      <c r="I147" s="386">
        <f t="shared" si="15"/>
        <v>871071</v>
      </c>
      <c r="J147" s="386">
        <f t="shared" si="15"/>
        <v>0</v>
      </c>
      <c r="K147" s="386">
        <f t="shared" si="15"/>
        <v>0</v>
      </c>
      <c r="L147" s="386">
        <f t="shared" si="15"/>
        <v>0</v>
      </c>
      <c r="M147" s="386">
        <f t="shared" si="15"/>
        <v>0</v>
      </c>
      <c r="N147" s="386">
        <f t="shared" ref="N147:O152" si="16">N122</f>
        <v>0</v>
      </c>
      <c r="O147" s="386">
        <f t="shared" si="16"/>
        <v>0</v>
      </c>
      <c r="P147" s="386">
        <f t="shared" si="15"/>
        <v>0</v>
      </c>
      <c r="Q147" s="386">
        <f t="shared" si="15"/>
        <v>0</v>
      </c>
      <c r="R147" s="386">
        <f t="shared" si="15"/>
        <v>0</v>
      </c>
      <c r="S147" s="386">
        <f t="shared" si="15"/>
        <v>0</v>
      </c>
      <c r="T147" s="36"/>
      <c r="U147" s="36"/>
    </row>
    <row r="148" spans="1:21" ht="15.75" thickBot="1">
      <c r="A148" s="3"/>
      <c r="B148" s="709"/>
      <c r="C148" s="710"/>
      <c r="D148" s="711"/>
      <c r="E148" s="701"/>
      <c r="F148" s="700"/>
      <c r="G148" s="130" t="s">
        <v>93</v>
      </c>
      <c r="H148" s="386">
        <f t="shared" ref="H148:K152" si="17">H123</f>
        <v>0</v>
      </c>
      <c r="I148" s="386">
        <f t="shared" si="17"/>
        <v>771553</v>
      </c>
      <c r="J148" s="386">
        <f t="shared" si="17"/>
        <v>0</v>
      </c>
      <c r="K148" s="386">
        <f t="shared" si="17"/>
        <v>0</v>
      </c>
      <c r="L148" s="386">
        <f t="shared" ref="L148:S148" si="18">L123</f>
        <v>0</v>
      </c>
      <c r="M148" s="386">
        <f t="shared" si="18"/>
        <v>0</v>
      </c>
      <c r="N148" s="386">
        <f t="shared" si="16"/>
        <v>0</v>
      </c>
      <c r="O148" s="386">
        <f t="shared" si="16"/>
        <v>0</v>
      </c>
      <c r="P148" s="386">
        <f t="shared" si="18"/>
        <v>0</v>
      </c>
      <c r="Q148" s="386">
        <f t="shared" si="18"/>
        <v>0</v>
      </c>
      <c r="R148" s="386">
        <f t="shared" si="18"/>
        <v>0</v>
      </c>
      <c r="S148" s="386">
        <f t="shared" si="18"/>
        <v>0</v>
      </c>
      <c r="T148" s="36"/>
      <c r="U148" s="36"/>
    </row>
    <row r="149" spans="1:21">
      <c r="A149" s="3"/>
      <c r="B149" s="706" t="str">
        <f>IF(ISBLANK(B124),"",(B124))</f>
        <v>Proportion of households in targeted areas that received Indoor Residual Spraying during the reporting period</v>
      </c>
      <c r="C149" s="707"/>
      <c r="D149" s="708"/>
      <c r="E149" s="701">
        <f>IF(ISBLANK(E124),"",(E124))</f>
        <v>1.2</v>
      </c>
      <c r="F149" s="700" t="str">
        <f>IF(ISBLANK(F124),"",(F124))</f>
        <v>YES</v>
      </c>
      <c r="G149" s="238" t="s">
        <v>92</v>
      </c>
      <c r="H149" s="386">
        <f t="shared" si="17"/>
        <v>0</v>
      </c>
      <c r="I149" s="386">
        <f>I124</f>
        <v>141960</v>
      </c>
      <c r="J149" s="386">
        <f t="shared" si="17"/>
        <v>0</v>
      </c>
      <c r="K149" s="386">
        <f>K124</f>
        <v>0</v>
      </c>
      <c r="L149" s="386">
        <f t="shared" ref="L149:S149" si="19">L124</f>
        <v>0</v>
      </c>
      <c r="M149" s="386">
        <f t="shared" si="19"/>
        <v>0</v>
      </c>
      <c r="N149" s="386">
        <f t="shared" si="16"/>
        <v>0</v>
      </c>
      <c r="O149" s="386">
        <f t="shared" si="16"/>
        <v>0</v>
      </c>
      <c r="P149" s="386">
        <f t="shared" si="19"/>
        <v>0</v>
      </c>
      <c r="Q149" s="386">
        <f t="shared" si="19"/>
        <v>0</v>
      </c>
      <c r="R149" s="386">
        <f t="shared" si="19"/>
        <v>0</v>
      </c>
      <c r="S149" s="386">
        <f t="shared" si="19"/>
        <v>0</v>
      </c>
      <c r="T149" s="36"/>
      <c r="U149" s="36"/>
    </row>
    <row r="150" spans="1:21" ht="15.75" thickBot="1">
      <c r="A150" s="3"/>
      <c r="B150" s="709"/>
      <c r="C150" s="710"/>
      <c r="D150" s="711"/>
      <c r="E150" s="701"/>
      <c r="F150" s="700"/>
      <c r="G150" s="238" t="s">
        <v>93</v>
      </c>
      <c r="H150" s="386">
        <f t="shared" si="17"/>
        <v>0</v>
      </c>
      <c r="I150" s="386">
        <f t="shared" si="17"/>
        <v>122622</v>
      </c>
      <c r="J150" s="386">
        <f t="shared" si="17"/>
        <v>0</v>
      </c>
      <c r="K150" s="386">
        <f t="shared" si="17"/>
        <v>0</v>
      </c>
      <c r="L150" s="386">
        <f t="shared" ref="L150:S150" si="20">L125</f>
        <v>0</v>
      </c>
      <c r="M150" s="386">
        <f t="shared" si="20"/>
        <v>0</v>
      </c>
      <c r="N150" s="386">
        <f t="shared" si="16"/>
        <v>0</v>
      </c>
      <c r="O150" s="386">
        <f t="shared" si="16"/>
        <v>0</v>
      </c>
      <c r="P150" s="386">
        <f t="shared" si="20"/>
        <v>0</v>
      </c>
      <c r="Q150" s="386">
        <f t="shared" si="20"/>
        <v>0</v>
      </c>
      <c r="R150" s="386">
        <f t="shared" si="20"/>
        <v>0</v>
      </c>
      <c r="S150" s="386">
        <f t="shared" si="20"/>
        <v>0</v>
      </c>
      <c r="T150" s="36"/>
      <c r="U150" s="36"/>
    </row>
    <row r="151" spans="1:21">
      <c r="A151" s="3"/>
      <c r="B151" s="706" t="str">
        <f>IF(ISBLANK(B126),"",(B126))</f>
        <v/>
      </c>
      <c r="C151" s="707"/>
      <c r="D151" s="708"/>
      <c r="E151" s="701" t="str">
        <f>IF(ISBLANK(E126),"",(E126))</f>
        <v/>
      </c>
      <c r="F151" s="700" t="str">
        <f>IF(ISBLANK(F126),"",(F126))</f>
        <v/>
      </c>
      <c r="G151" s="130" t="s">
        <v>92</v>
      </c>
      <c r="H151" s="386">
        <f t="shared" si="17"/>
        <v>0</v>
      </c>
      <c r="I151" s="386">
        <f t="shared" si="17"/>
        <v>0</v>
      </c>
      <c r="J151" s="386">
        <f t="shared" si="17"/>
        <v>0</v>
      </c>
      <c r="K151" s="386">
        <f t="shared" si="17"/>
        <v>0</v>
      </c>
      <c r="L151" s="386">
        <f t="shared" ref="L151:S151" si="21">L126</f>
        <v>0</v>
      </c>
      <c r="M151" s="386">
        <f t="shared" si="21"/>
        <v>0</v>
      </c>
      <c r="N151" s="386">
        <f t="shared" si="16"/>
        <v>0</v>
      </c>
      <c r="O151" s="386">
        <f t="shared" si="16"/>
        <v>0</v>
      </c>
      <c r="P151" s="386">
        <f t="shared" si="21"/>
        <v>0</v>
      </c>
      <c r="Q151" s="386">
        <f t="shared" si="21"/>
        <v>0</v>
      </c>
      <c r="R151" s="386">
        <f t="shared" si="21"/>
        <v>0</v>
      </c>
      <c r="S151" s="386">
        <f t="shared" si="21"/>
        <v>0</v>
      </c>
      <c r="T151" s="36"/>
      <c r="U151" s="36"/>
    </row>
    <row r="152" spans="1:21" ht="15.75" thickBot="1">
      <c r="A152" s="3"/>
      <c r="B152" s="709"/>
      <c r="C152" s="710"/>
      <c r="D152" s="711"/>
      <c r="E152" s="701"/>
      <c r="F152" s="700"/>
      <c r="G152" s="131" t="s">
        <v>93</v>
      </c>
      <c r="H152" s="387">
        <f t="shared" si="17"/>
        <v>0</v>
      </c>
      <c r="I152" s="387">
        <f t="shared" si="17"/>
        <v>0</v>
      </c>
      <c r="J152" s="387">
        <f t="shared" si="17"/>
        <v>0</v>
      </c>
      <c r="K152" s="387">
        <f t="shared" si="17"/>
        <v>0</v>
      </c>
      <c r="L152" s="386">
        <f t="shared" ref="L152:S152" si="22">L127</f>
        <v>0</v>
      </c>
      <c r="M152" s="386">
        <f t="shared" si="22"/>
        <v>0</v>
      </c>
      <c r="N152" s="386">
        <f t="shared" si="16"/>
        <v>0</v>
      </c>
      <c r="O152" s="386">
        <f t="shared" si="16"/>
        <v>0</v>
      </c>
      <c r="P152" s="386">
        <f t="shared" si="22"/>
        <v>0</v>
      </c>
      <c r="Q152" s="386">
        <f t="shared" si="22"/>
        <v>0</v>
      </c>
      <c r="R152" s="386">
        <f t="shared" si="22"/>
        <v>0</v>
      </c>
      <c r="S152" s="386">
        <f t="shared" si="22"/>
        <v>0</v>
      </c>
      <c r="T152" s="36"/>
      <c r="U152" s="36"/>
    </row>
    <row r="153" spans="1:21">
      <c r="A153" s="3"/>
      <c r="B153" s="3"/>
      <c r="C153" s="3"/>
      <c r="D153" s="3"/>
      <c r="E153" s="3"/>
      <c r="F153" s="3"/>
      <c r="G153" s="3"/>
      <c r="H153" s="3"/>
      <c r="I153" s="3"/>
      <c r="J153" s="3"/>
      <c r="K153" s="3"/>
      <c r="L153" s="3"/>
      <c r="M153" s="3"/>
      <c r="N153"/>
      <c r="O153"/>
      <c r="P153" s="36"/>
      <c r="Q153" s="36"/>
    </row>
    <row r="154" spans="1:21">
      <c r="N154"/>
      <c r="O154"/>
      <c r="P154" s="36"/>
      <c r="Q154" s="36"/>
    </row>
    <row r="155" spans="1:21">
      <c r="N155"/>
      <c r="O155"/>
      <c r="P155" s="36"/>
      <c r="Q155" s="36"/>
    </row>
    <row r="156" spans="1:21">
      <c r="N156"/>
      <c r="O156"/>
      <c r="P156" s="36"/>
      <c r="Q156" s="36"/>
    </row>
  </sheetData>
  <mergeCells count="73">
    <mergeCell ref="O31:O34"/>
    <mergeCell ref="E122:E123"/>
    <mergeCell ref="F122:F123"/>
    <mergeCell ref="F124:F125"/>
    <mergeCell ref="E124:E125"/>
    <mergeCell ref="F51:I51"/>
    <mergeCell ref="B151:D152"/>
    <mergeCell ref="B140:D141"/>
    <mergeCell ref="E149:E150"/>
    <mergeCell ref="E130:E131"/>
    <mergeCell ref="B130:D131"/>
    <mergeCell ref="E136:E137"/>
    <mergeCell ref="B147:D148"/>
    <mergeCell ref="B149:D150"/>
    <mergeCell ref="B136:D137"/>
    <mergeCell ref="B138:D139"/>
    <mergeCell ref="B132:D133"/>
    <mergeCell ref="B134:D135"/>
    <mergeCell ref="F149:F150"/>
    <mergeCell ref="E151:E152"/>
    <mergeCell ref="F151:F152"/>
    <mergeCell ref="E138:E139"/>
    <mergeCell ref="F138:F139"/>
    <mergeCell ref="E140:E141"/>
    <mergeCell ref="F140:F141"/>
    <mergeCell ref="E147:E148"/>
    <mergeCell ref="F147:F148"/>
    <mergeCell ref="B128:D129"/>
    <mergeCell ref="C12:D12"/>
    <mergeCell ref="D18:F18"/>
    <mergeCell ref="F136:F137"/>
    <mergeCell ref="F130:F131"/>
    <mergeCell ref="B75:C75"/>
    <mergeCell ref="B26:C26"/>
    <mergeCell ref="B112:B115"/>
    <mergeCell ref="F132:F133"/>
    <mergeCell ref="E134:E135"/>
    <mergeCell ref="F134:F135"/>
    <mergeCell ref="E128:E129"/>
    <mergeCell ref="E132:E133"/>
    <mergeCell ref="F128:F129"/>
    <mergeCell ref="B21:J21"/>
    <mergeCell ref="B76:C76"/>
    <mergeCell ref="I24:J24"/>
    <mergeCell ref="I6:J6"/>
    <mergeCell ref="B18:C18"/>
    <mergeCell ref="B120:D120"/>
    <mergeCell ref="G10:J10"/>
    <mergeCell ref="E10:F10"/>
    <mergeCell ref="D24:E24"/>
    <mergeCell ref="G24:H24"/>
    <mergeCell ref="I8:J8"/>
    <mergeCell ref="C10:D10"/>
    <mergeCell ref="E12:F12"/>
    <mergeCell ref="C8:D8"/>
    <mergeCell ref="B14:J14"/>
    <mergeCell ref="H16:I16"/>
    <mergeCell ref="G12:J12"/>
    <mergeCell ref="B2:J2"/>
    <mergeCell ref="C4:D4"/>
    <mergeCell ref="E4:F4"/>
    <mergeCell ref="G4:J4"/>
    <mergeCell ref="C6:D6"/>
    <mergeCell ref="E6:F6"/>
    <mergeCell ref="A122:A127"/>
    <mergeCell ref="B29:N29"/>
    <mergeCell ref="B122:D123"/>
    <mergeCell ref="B64:D64"/>
    <mergeCell ref="F126:F127"/>
    <mergeCell ref="E126:E127"/>
    <mergeCell ref="B126:D127"/>
    <mergeCell ref="B77:C77"/>
    <mergeCell ref="B124:D125"/>
  </mergeCells>
  <phoneticPr fontId="31" type="noConversion"/>
  <conditionalFormatting sqref="B34 B32 C33:N33 D32:H32">
    <cfRule type="expression" dxfId="52" priority="2" stopIfTrue="1">
      <formula>+AND(B31&gt;=#REF!,B31&lt;=#REF!)</formula>
    </cfRule>
  </conditionalFormatting>
  <conditionalFormatting sqref="C34:N34">
    <cfRule type="expression" dxfId="51" priority="3" stopIfTrue="1">
      <formula>+AND(C32&gt;=#REF!,C32&lt;=#REF!)</formula>
    </cfRule>
  </conditionalFormatting>
  <conditionalFormatting sqref="C30:N30 C98:N98">
    <cfRule type="cellIs" dxfId="50" priority="6" stopIfTrue="1" operator="equal">
      <formula>$C$16</formula>
    </cfRule>
  </conditionalFormatting>
  <conditionalFormatting sqref="C12:D12">
    <cfRule type="cellIs" dxfId="49" priority="8" stopIfTrue="1" operator="equal">
      <formula>"C"</formula>
    </cfRule>
    <cfRule type="cellIs" dxfId="48" priority="9" stopIfTrue="1" operator="equal">
      <formula>"B2"</formula>
    </cfRule>
    <cfRule type="cellIs" dxfId="47" priority="10" stopIfTrue="1" operator="equal">
      <formula>"B1"</formula>
    </cfRule>
  </conditionalFormatting>
  <conditionalFormatting sqref="H146:S146 H120:S121">
    <cfRule type="cellIs" dxfId="46" priority="17" stopIfTrue="1" operator="equal">
      <formula>$C$16</formula>
    </cfRule>
  </conditionalFormatting>
  <conditionalFormatting sqref="F51:I51">
    <cfRule type="expression" dxfId="45" priority="18" stopIfTrue="1">
      <formula>LEFT($F$51,2)="OK"</formula>
    </cfRule>
  </conditionalFormatting>
  <conditionalFormatting sqref="G94">
    <cfRule type="cellIs" dxfId="44" priority="27" stopIfTrue="1" operator="equal">
      <formula>"OK: SR data match."</formula>
    </cfRule>
    <cfRule type="cellIs" dxfId="43" priority="28" stopIfTrue="1" operator="equal">
      <formula>"Warning: check SR data in M3 and M4."</formula>
    </cfRule>
  </conditionalFormatting>
  <conditionalFormatting sqref="C32">
    <cfRule type="expression" dxfId="42" priority="1" stopIfTrue="1">
      <formula>+AND(C31&gt;=#REF!,C31&lt;=#REF!)</formula>
    </cfRule>
  </conditionalFormatting>
  <dataValidations disablePrompts="1" count="9">
    <dataValidation type="list" allowBlank="1" showInputMessage="1" showErrorMessage="1" sqref="B112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12:C115">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52" max="16383" man="1"/>
  </rowBreaks>
  <ignoredErrors>
    <ignoredError sqref="H146:S146 E147"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topLeftCell="A4" zoomScale="90" zoomScaleNormal="90" zoomScaleSheetLayoutView="100" zoomScalePageLayoutView="90" workbookViewId="0">
      <selection activeCell="D15" sqref="D15"/>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54"/>
      <c r="H1" s="2"/>
      <c r="I1" s="2"/>
      <c r="J1" s="2"/>
    </row>
    <row r="2" spans="1:24" ht="25.5" customHeight="1"/>
    <row r="3" spans="1:24" ht="36">
      <c r="B3" s="721" t="str">
        <f>+"Dashboard: "&amp;" "&amp;+IF('Data Entry'!C4="Please Select","",'Data Entry'!C4&amp;" - ")&amp;+IF('Data Entry'!G6="Please Select","",'Data Entry'!G6&amp;"  (")&amp;+IF('Data Entry'!C8="Please Select","",'Data Entry'!C8)&amp;")"</f>
        <v>Dashboard:  Ghana - MALARIA  (AngloGold Asanti (Ghana) Malaria Ltd)</v>
      </c>
      <c r="C3" s="721"/>
      <c r="D3" s="721"/>
      <c r="E3" s="721"/>
      <c r="F3" s="721"/>
      <c r="G3" s="721"/>
      <c r="H3" s="721"/>
      <c r="I3" s="721"/>
      <c r="J3" s="721"/>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50" t="s">
        <v>33</v>
      </c>
      <c r="B6" s="723" t="str">
        <f>+IF('Data Entry'!C4="Please Select","",'Data Entry'!C4)</f>
        <v>Ghana</v>
      </c>
      <c r="C6" s="723"/>
      <c r="D6" s="727" t="s">
        <v>19</v>
      </c>
      <c r="E6" s="727"/>
      <c r="F6" s="728" t="str">
        <f>+'Data Entry'!G4</f>
        <v>Accelerating Access -- Home-Based Care &amp; Indoor Residual Spraying</v>
      </c>
      <c r="G6" s="728"/>
      <c r="H6" s="728"/>
      <c r="I6" s="728"/>
      <c r="J6" s="728"/>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52" t="s">
        <v>34</v>
      </c>
      <c r="B9" s="449" t="str">
        <f>+IF('Data Entry'!G6="Please Select","",'Data Entry'!G6)</f>
        <v>MALARIA</v>
      </c>
      <c r="C9" s="352" t="s">
        <v>325</v>
      </c>
      <c r="D9" s="322" t="str">
        <f>+'Data Entry'!C6</f>
        <v>GHA-M-AGAMAL</v>
      </c>
      <c r="E9" s="725" t="s">
        <v>20</v>
      </c>
      <c r="F9" s="725"/>
      <c r="G9" s="323">
        <f>+IF(ISBLANK('Data Entry'!C10),"",'Data Entry'!C10)</f>
        <v>42064</v>
      </c>
      <c r="H9" s="352" t="str">
        <f>'Data Entry'!H6</f>
        <v>Funding:</v>
      </c>
      <c r="I9" s="724">
        <f>+IF(ISBLANK('Data Entry'!I6),"",'Data Entry'!I6)</f>
        <v>13325139.303646</v>
      </c>
      <c r="J9" s="724"/>
      <c r="K9" s="50"/>
      <c r="L9" s="50"/>
      <c r="M9" s="50"/>
      <c r="N9" s="50"/>
      <c r="O9" s="52"/>
      <c r="P9" s="51"/>
      <c r="Q9" s="52"/>
      <c r="R9" s="53"/>
      <c r="S9" s="17"/>
      <c r="T9" s="11"/>
      <c r="U9" s="11"/>
      <c r="V9" s="10"/>
      <c r="W9" s="10"/>
      <c r="X9" s="10"/>
    </row>
    <row r="10" spans="1:24" ht="25.5" customHeight="1">
      <c r="A10" s="352" t="s">
        <v>320</v>
      </c>
      <c r="B10" s="450" t="str">
        <f>+IF('Data Entry'!G8="Please Select","",'Data Entry'!G8)</f>
        <v>1</v>
      </c>
      <c r="C10" s="352" t="s">
        <v>319</v>
      </c>
      <c r="D10" s="447" t="str">
        <f>+IF('Data Entry'!I8="Please Select","",'Data Entry'!I8)</f>
        <v>New Funding Model</v>
      </c>
      <c r="E10" s="726" t="s">
        <v>274</v>
      </c>
      <c r="F10" s="726"/>
      <c r="G10" s="722" t="str">
        <f>+'Data Entry'!C8</f>
        <v>AngloGold Asanti (Ghana) Malaria Ltd</v>
      </c>
      <c r="H10" s="722"/>
      <c r="I10" s="722"/>
      <c r="J10" s="722"/>
      <c r="K10" s="54"/>
      <c r="L10" s="54"/>
      <c r="M10" s="50"/>
      <c r="N10" s="54"/>
      <c r="O10" s="52"/>
      <c r="P10" s="51"/>
      <c r="Q10" s="11"/>
      <c r="R10" s="53"/>
      <c r="S10" s="17"/>
      <c r="T10" s="11"/>
      <c r="U10" s="11"/>
    </row>
    <row r="11" spans="1:24" ht="25.5" customHeight="1">
      <c r="A11" s="352" t="s">
        <v>28</v>
      </c>
      <c r="B11" s="451" t="str">
        <f>+'Data Entry'!C16</f>
        <v>P2</v>
      </c>
      <c r="C11" s="412" t="s">
        <v>272</v>
      </c>
      <c r="D11" s="448">
        <f>+IF(ISBLANK('Data Entry'!E16),"",'Data Entry'!E16)</f>
        <v>42095</v>
      </c>
      <c r="E11" s="725" t="s">
        <v>29</v>
      </c>
      <c r="F11" s="725"/>
      <c r="G11" s="323">
        <f>+IF(ISBLANK('Data Entry'!G16),"",'Data Entry'!G16)</f>
        <v>42185</v>
      </c>
      <c r="H11" s="352" t="s">
        <v>36</v>
      </c>
      <c r="I11" s="729" t="str">
        <f>+IF('Data Entry'!C12="Please Select","",'Data Entry'!C12)</f>
        <v>A2</v>
      </c>
      <c r="J11" s="729"/>
      <c r="K11" s="253"/>
      <c r="L11" s="54"/>
      <c r="M11" s="50"/>
      <c r="N11" s="54"/>
      <c r="O11" s="54"/>
      <c r="P11" s="51"/>
      <c r="Q11" s="11"/>
      <c r="R11" s="53"/>
      <c r="S11" s="17"/>
      <c r="T11" s="12"/>
      <c r="U11" s="11"/>
    </row>
    <row r="12" spans="1:24" ht="25.5" customHeight="1">
      <c r="A12" s="352" t="s">
        <v>38</v>
      </c>
      <c r="B12" s="722" t="str">
        <f>+IF('Data Entry'!G10="Please Select","",'Data Entry'!G10)</f>
        <v>PwC (PricewaterhouseCoopers)</v>
      </c>
      <c r="C12" s="722"/>
      <c r="D12" s="722"/>
      <c r="E12" s="726" t="s">
        <v>294</v>
      </c>
      <c r="F12" s="726"/>
      <c r="G12" s="722" t="str">
        <f>+'Data Entry'!G12</f>
        <v>Mark Saalfeld</v>
      </c>
      <c r="H12" s="722"/>
      <c r="I12" s="722"/>
      <c r="J12" s="722"/>
      <c r="K12" s="54"/>
      <c r="L12" s="54"/>
      <c r="M12" s="50"/>
      <c r="N12" s="54"/>
      <c r="O12" s="17"/>
      <c r="P12" s="51"/>
      <c r="Q12" s="11"/>
      <c r="R12" s="53"/>
      <c r="S12" s="17"/>
      <c r="T12" s="11"/>
      <c r="U12" s="55"/>
      <c r="V12" s="11"/>
      <c r="W12" s="12"/>
      <c r="X12" s="11"/>
    </row>
    <row r="13" spans="1:24" ht="25.5" customHeight="1">
      <c r="A13" s="352" t="s">
        <v>39</v>
      </c>
      <c r="B13" s="722" t="str">
        <f>+'Data Entry'!D18</f>
        <v>AGAMAL LTD</v>
      </c>
      <c r="C13" s="722"/>
      <c r="D13" s="722"/>
      <c r="E13" s="726" t="s">
        <v>37</v>
      </c>
      <c r="F13" s="726"/>
      <c r="G13" s="730">
        <f>+IF(ISBLANK('Data Entry'!J16),"",'Data Entry'!J16)</f>
        <v>42228</v>
      </c>
      <c r="H13" s="731"/>
      <c r="I13" s="731"/>
      <c r="J13" s="731"/>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3"/>
      <c r="D16" s="16"/>
      <c r="E16" s="353"/>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1" type="noConversion"/>
  <conditionalFormatting sqref="I11:J11">
    <cfRule type="cellIs" dxfId="41" priority="1" stopIfTrue="1" operator="equal">
      <formula>"C"</formula>
    </cfRule>
    <cfRule type="cellIs" dxfId="40" priority="2" stopIfTrue="1" operator="equal">
      <formula>"B2"</formula>
    </cfRule>
    <cfRule type="cellIs" dxfId="39"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10" zoomScaleNormal="100" workbookViewId="0">
      <selection activeCell="F37" sqref="F37"/>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64" t="str">
        <f>'Grant Detail'!B3:J3</f>
        <v>Dashboard:  Ghana - MALARIA  (AngloGold Asanti (Ghana) Malaria Ltd)</v>
      </c>
      <c r="C2" s="664"/>
      <c r="D2" s="664"/>
      <c r="E2" s="664"/>
      <c r="F2" s="664"/>
      <c r="G2" s="664"/>
      <c r="H2" s="664"/>
      <c r="I2" s="664"/>
      <c r="J2" s="664"/>
      <c r="K2" s="664"/>
      <c r="L2" s="1"/>
      <c r="M2" s="1"/>
      <c r="N2" s="1"/>
      <c r="O2" s="1"/>
    </row>
    <row r="3" spans="2:15">
      <c r="B3" s="132" t="str">
        <f>+IF('Data Entry'!G8="Please Select","",'Data Entry'!G8)</f>
        <v>1</v>
      </c>
      <c r="C3" s="745" t="str">
        <f>+IF('Data Entry'!I8="Please Select","",'Data Entry'!I8)</f>
        <v>New Funding Model</v>
      </c>
      <c r="D3" s="745"/>
      <c r="E3" s="744"/>
      <c r="F3" s="744"/>
      <c r="G3" s="744"/>
      <c r="H3" s="744"/>
      <c r="I3" s="742" t="str">
        <f>+'Data Entry'!B16</f>
        <v>Report Period:</v>
      </c>
      <c r="J3" s="742"/>
      <c r="K3" s="198" t="str">
        <f>+'Data Entry'!C16</f>
        <v>P2</v>
      </c>
      <c r="L3" s="83"/>
    </row>
    <row r="4" spans="2:15">
      <c r="B4" s="132" t="str">
        <f>+'Data Entry'!B12</f>
        <v>Latest Rating:</v>
      </c>
      <c r="C4" s="746" t="str">
        <f>+IF('Data Entry'!C12="Please Select","",'Data Entry'!C12)</f>
        <v>A2</v>
      </c>
      <c r="D4" s="746"/>
      <c r="E4" s="744" t="str">
        <f>+'Data Entry'!C8</f>
        <v>AngloGold Asanti (Ghana) Malaria Ltd</v>
      </c>
      <c r="F4" s="744"/>
      <c r="G4" s="744"/>
      <c r="H4" s="744"/>
      <c r="I4" s="742" t="str">
        <f>+'Data Entry'!D16</f>
        <v>From:</v>
      </c>
      <c r="J4" s="743"/>
      <c r="K4" s="200">
        <f>+IF(ISBLANK('Data Entry'!E16),"",'Data Entry'!E16)</f>
        <v>42095</v>
      </c>
    </row>
    <row r="5" spans="2:15" ht="18.75" customHeight="1">
      <c r="B5" s="132"/>
      <c r="C5" s="132"/>
      <c r="D5" s="741" t="str">
        <f>+'Data Entry'!G4</f>
        <v>Accelerating Access -- Home-Based Care &amp; Indoor Residual Spraying</v>
      </c>
      <c r="E5" s="741"/>
      <c r="F5" s="741"/>
      <c r="G5" s="741"/>
      <c r="H5" s="741"/>
      <c r="I5" s="741"/>
      <c r="J5" s="132" t="str">
        <f>+'Data Entry'!F16</f>
        <v>To:</v>
      </c>
      <c r="K5" s="200">
        <f>+IF(ISBLANK('Data Entry'!G16),"",'Data Entry'!G16)</f>
        <v>42185</v>
      </c>
    </row>
    <row r="6" spans="2:15" ht="18.75">
      <c r="B6" s="136"/>
      <c r="C6" s="132"/>
      <c r="D6" s="133"/>
      <c r="E6" s="747" t="s">
        <v>69</v>
      </c>
      <c r="F6" s="747"/>
      <c r="G6" s="747"/>
      <c r="H6" s="747"/>
      <c r="I6" s="3"/>
      <c r="J6" s="3"/>
      <c r="K6" s="3"/>
    </row>
    <row r="7" spans="2:15" ht="10.5" customHeight="1">
      <c r="B7" s="137"/>
      <c r="C7" s="138"/>
      <c r="D7" s="139"/>
      <c r="E7" s="140"/>
      <c r="F7" s="140"/>
      <c r="G7" s="141"/>
      <c r="H7" s="141"/>
      <c r="I7" s="135"/>
      <c r="J7" s="135"/>
      <c r="K7" s="134"/>
    </row>
    <row r="8" spans="2:15">
      <c r="B8" s="203" t="str">
        <f>+'Data Entry'!B27&amp; " - ("&amp;'Data Entry'!D26&amp;")            "&amp;+I3&amp;" "&amp;+K3</f>
        <v>F1: Budget and disbursements by Global Fund - ($)            Report Period: P2</v>
      </c>
      <c r="C8" s="142"/>
      <c r="D8" s="2"/>
      <c r="E8" s="2"/>
      <c r="F8" s="2"/>
      <c r="H8" s="203" t="str">
        <f>+'Data Entry'!B53&amp; " - ("&amp;'Data Entry'!D26&amp;")               "&amp;+I3&amp;" "&amp;+K3</f>
        <v>F3: Disbursements and expenditures - ($)               Report Period: P2</v>
      </c>
      <c r="I8" s="3"/>
      <c r="J8" s="3"/>
      <c r="K8" s="3"/>
    </row>
    <row r="9" spans="2:15" ht="127.5" customHeight="1">
      <c r="B9" s="327" t="s">
        <v>16</v>
      </c>
      <c r="C9" s="753" t="s">
        <v>519</v>
      </c>
      <c r="D9" s="735"/>
      <c r="E9" s="735"/>
      <c r="F9" s="736"/>
      <c r="H9" s="328" t="s">
        <v>16</v>
      </c>
      <c r="I9" s="753" t="s">
        <v>502</v>
      </c>
      <c r="J9" s="735"/>
      <c r="K9" s="735"/>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4" t="str">
        <f>+'Data Entry'!B36&amp; " - ("&amp;'Data Entry'!D26&amp;")  "&amp;+I3&amp;" "&amp;+K3</f>
        <v>F2: Budget and actual expenditures by category - ($)  Report Period: P2</v>
      </c>
      <c r="C22" s="2"/>
      <c r="D22" s="2"/>
      <c r="E22" s="2"/>
      <c r="F22" s="2"/>
      <c r="H22" s="204" t="str">
        <f>+'Data Entry'!B62&amp;"      "&amp;+I3&amp;" "&amp;+K3</f>
        <v>F4: Latest PR reporting and disbursement cycle      Report Period: P2</v>
      </c>
      <c r="J22" s="3"/>
      <c r="K22" s="3"/>
    </row>
    <row r="23" spans="1:11" ht="204" customHeight="1">
      <c r="B23" s="328" t="s">
        <v>17</v>
      </c>
      <c r="C23" s="732" t="s">
        <v>518</v>
      </c>
      <c r="D23" s="735"/>
      <c r="E23" s="735"/>
      <c r="F23" s="736"/>
      <c r="G23" s="349"/>
      <c r="H23" s="328" t="s">
        <v>16</v>
      </c>
      <c r="I23" s="732"/>
      <c r="J23" s="733"/>
      <c r="K23" s="734"/>
    </row>
    <row r="24" spans="1:11" ht="15.75" thickBot="1">
      <c r="B24" s="213"/>
      <c r="C24" s="213"/>
      <c r="D24" s="213"/>
      <c r="E24" s="213"/>
      <c r="F24" s="213"/>
      <c r="G24" s="213"/>
      <c r="H24" s="214"/>
      <c r="I24" s="214"/>
      <c r="J24" s="213"/>
      <c r="K24" s="213"/>
    </row>
    <row r="25" spans="1:11" ht="29.25" customHeight="1" thickBot="1">
      <c r="B25" s="3"/>
      <c r="C25" s="3"/>
      <c r="D25" s="3"/>
      <c r="E25" s="3"/>
      <c r="F25" s="3"/>
      <c r="G25" s="307"/>
      <c r="H25" s="748" t="s">
        <v>310</v>
      </c>
      <c r="I25" s="749"/>
      <c r="J25" s="749"/>
      <c r="K25" s="750"/>
    </row>
    <row r="26" spans="1:11" ht="24.75">
      <c r="B26" s="3"/>
      <c r="C26" s="3"/>
      <c r="D26" s="3"/>
      <c r="E26" s="3"/>
      <c r="F26" s="3"/>
      <c r="G26" s="270"/>
      <c r="H26" s="751"/>
      <c r="I26" s="752"/>
      <c r="J26" s="286" t="s">
        <v>67</v>
      </c>
      <c r="K26" s="287" t="s">
        <v>68</v>
      </c>
    </row>
    <row r="27" spans="1:11" ht="23.25" customHeight="1">
      <c r="B27" s="3"/>
      <c r="C27" s="3"/>
      <c r="D27" s="3"/>
      <c r="E27" s="3"/>
      <c r="F27" s="3"/>
      <c r="G27" s="308"/>
      <c r="H27" s="737" t="str">
        <f>'Data Entry'!B66</f>
        <v>Days taken to submit final PU/DR to LFA</v>
      </c>
      <c r="I27" s="738"/>
      <c r="J27" s="288">
        <f>+'Data Entry'!C66</f>
        <v>45</v>
      </c>
      <c r="K27" s="285">
        <f>+'Data Entry'!D66</f>
        <v>45</v>
      </c>
    </row>
    <row r="28" spans="1:11" ht="21" customHeight="1">
      <c r="B28" s="3"/>
      <c r="C28" s="3"/>
      <c r="D28" s="3"/>
      <c r="E28" s="3"/>
      <c r="F28" s="3"/>
      <c r="G28" s="308"/>
      <c r="H28" s="737" t="str">
        <f>'Data Entry'!B67</f>
        <v>Days taken for disbursement to reach PR</v>
      </c>
      <c r="I28" s="738"/>
      <c r="J28" s="288">
        <f>+'Data Entry'!C67</f>
        <v>45</v>
      </c>
      <c r="K28" s="524" t="str">
        <f>+'Data Entry'!D67</f>
        <v>-</v>
      </c>
    </row>
    <row r="29" spans="1:11" ht="21" customHeight="1" thickBot="1">
      <c r="B29" s="3"/>
      <c r="C29" s="3"/>
      <c r="D29" s="3"/>
      <c r="E29" s="3"/>
      <c r="F29" s="3"/>
      <c r="G29" s="308"/>
      <c r="H29" s="739" t="str">
        <f>'Data Entry'!B68</f>
        <v xml:space="preserve">Days taken for disbursement to reach SRs </v>
      </c>
      <c r="I29" s="740"/>
      <c r="J29" s="289">
        <f>+'Data Entry'!C68</f>
        <v>0</v>
      </c>
      <c r="K29" s="290">
        <f>+'Data Entry'!D68</f>
        <v>0</v>
      </c>
    </row>
    <row r="30" spans="1:11">
      <c r="B30" s="3"/>
      <c r="C30" s="3"/>
      <c r="D30" s="3"/>
      <c r="E30" s="3"/>
      <c r="F30" s="3"/>
      <c r="G30" s="3"/>
      <c r="H30" s="3"/>
      <c r="I30" s="3"/>
      <c r="J30" s="3"/>
      <c r="K30" s="3"/>
    </row>
    <row r="31" spans="1:11">
      <c r="B31" s="3"/>
      <c r="C31" s="15"/>
      <c r="D31" s="234"/>
      <c r="E31" s="3"/>
      <c r="F31" s="3"/>
      <c r="G31" s="3"/>
      <c r="H31" s="3"/>
      <c r="I31" s="3"/>
      <c r="J31" s="3"/>
      <c r="K31" s="3"/>
    </row>
    <row r="32" spans="1:11">
      <c r="B32" s="3"/>
      <c r="C32" s="15"/>
      <c r="D32" s="234"/>
      <c r="E32" s="3"/>
      <c r="F32" s="3"/>
      <c r="G32" s="3"/>
      <c r="H32" s="3"/>
      <c r="I32" s="3"/>
      <c r="J32" s="3"/>
      <c r="K32" s="3"/>
    </row>
    <row r="34" spans="5:5">
      <c r="E34" s="19"/>
    </row>
  </sheetData>
  <sheetProtection password="CFC9" sheet="1" objects="1" scenarios="1"/>
  <mergeCells count="18">
    <mergeCell ref="H27:I27"/>
    <mergeCell ref="C9:F9"/>
    <mergeCell ref="I23:K23"/>
    <mergeCell ref="C23:F23"/>
    <mergeCell ref="H28:I28"/>
    <mergeCell ref="H29:I29"/>
    <mergeCell ref="B2:K2"/>
    <mergeCell ref="D5:I5"/>
    <mergeCell ref="I4:J4"/>
    <mergeCell ref="I3:J3"/>
    <mergeCell ref="E3:H3"/>
    <mergeCell ref="C3:D3"/>
    <mergeCell ref="C4:D4"/>
    <mergeCell ref="E4:H4"/>
    <mergeCell ref="E6:H6"/>
    <mergeCell ref="H25:K25"/>
    <mergeCell ref="H26:I26"/>
    <mergeCell ref="I9:K9"/>
  </mergeCells>
  <phoneticPr fontId="31" type="noConversion"/>
  <conditionalFormatting sqref="K27:K29">
    <cfRule type="cellIs" dxfId="38" priority="4" stopIfTrue="1" operator="greaterThan">
      <formula>J27</formula>
    </cfRule>
    <cfRule type="cellIs" dxfId="37" priority="5" stopIfTrue="1" operator="between">
      <formula>J27</formula>
      <formula>1</formula>
    </cfRule>
    <cfRule type="cellIs" dxfId="36" priority="6" stopIfTrue="1" operator="equal">
      <formula>0</formula>
    </cfRule>
  </conditionalFormatting>
  <conditionalFormatting sqref="C4:D4">
    <cfRule type="cellIs" dxfId="35" priority="1" stopIfTrue="1" operator="equal">
      <formula>"C"</formula>
    </cfRule>
    <cfRule type="cellIs" dxfId="34" priority="2" stopIfTrue="1" operator="equal">
      <formula>"B2"</formula>
    </cfRule>
    <cfRule type="cellIs" dxfId="33"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abSelected="1" topLeftCell="A15" zoomScale="130" zoomScaleNormal="130" zoomScalePageLayoutView="125" workbookViewId="0">
      <selection activeCell="A22" sqref="A22:XFD29"/>
    </sheetView>
  </sheetViews>
  <sheetFormatPr defaultColWidth="11" defaultRowHeight="15"/>
  <cols>
    <col min="1" max="1" width="0.42578125" customWidth="1"/>
    <col min="2" max="2" width="11.28515625" customWidth="1"/>
    <col min="3" max="3" width="16.140625" customWidth="1"/>
    <col min="4" max="4" width="17.28515625" customWidth="1"/>
    <col min="5" max="5" width="8.42578125" customWidth="1"/>
    <col min="6" max="6" width="8.855468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789" t="str">
        <f>'Grant Detail'!B3:J3</f>
        <v>Dashboard:  Ghana - MALARIA  (AngloGold Asanti (Ghana) Malaria Ltd)</v>
      </c>
      <c r="C2" s="789"/>
      <c r="D2" s="789"/>
      <c r="E2" s="789"/>
      <c r="F2" s="789"/>
      <c r="G2" s="789"/>
      <c r="H2" s="789"/>
      <c r="I2" s="789"/>
      <c r="J2" s="789"/>
      <c r="K2" s="789"/>
      <c r="L2" s="789"/>
      <c r="M2" s="789"/>
      <c r="N2" s="789"/>
      <c r="O2" s="789"/>
      <c r="P2" s="789"/>
      <c r="Q2" s="789"/>
    </row>
    <row r="3" spans="1:35" ht="18.75">
      <c r="A3" s="3"/>
      <c r="B3" s="132" t="str">
        <f>+IF('Data Entry'!G8="Please Select","",'Data Entry'!G8)</f>
        <v>1</v>
      </c>
      <c r="C3" s="745" t="str">
        <f>+IF('Data Entry'!I8="Please Select","",'Data Entry'!I8)</f>
        <v>New Funding Model</v>
      </c>
      <c r="D3" s="745"/>
      <c r="E3" s="744"/>
      <c r="F3" s="744"/>
      <c r="G3" s="744"/>
      <c r="H3" s="744"/>
      <c r="I3" s="792"/>
      <c r="J3" s="792"/>
      <c r="K3" s="792"/>
      <c r="L3" s="3"/>
      <c r="M3" s="3"/>
      <c r="O3" s="742" t="str">
        <f>+'Data Entry'!B16</f>
        <v>Report Period:</v>
      </c>
      <c r="P3" s="742"/>
      <c r="Q3" s="199" t="str">
        <f>+'Data Entry'!C16</f>
        <v>P2</v>
      </c>
    </row>
    <row r="4" spans="1:35" ht="12" customHeight="1">
      <c r="A4" s="3"/>
      <c r="B4" s="132" t="str">
        <f>+'Data Entry'!B12</f>
        <v>Latest Rating:</v>
      </c>
      <c r="C4" s="793" t="str">
        <f>+IF('Data Entry'!C12="Please Select","",'Data Entry'!C12)</f>
        <v>A2</v>
      </c>
      <c r="D4" s="793"/>
      <c r="E4" s="744" t="str">
        <f>+'Data Entry'!C8</f>
        <v>AngloGold Asanti (Ghana) Malaria Ltd</v>
      </c>
      <c r="F4" s="744"/>
      <c r="G4" s="744"/>
      <c r="H4" s="744"/>
      <c r="I4" s="744"/>
      <c r="J4" s="744"/>
      <c r="K4" s="744"/>
      <c r="L4" s="744"/>
      <c r="M4" s="3"/>
      <c r="O4" s="315"/>
      <c r="P4" s="132" t="str">
        <f>+'Data Entry'!D16</f>
        <v>From:</v>
      </c>
      <c r="Q4" s="316">
        <f>+IF(ISBLANK('Data Entry'!E16),"",'Data Entry'!E16)</f>
        <v>42095</v>
      </c>
      <c r="Y4" s="71"/>
      <c r="Z4" s="71"/>
      <c r="AA4" s="71"/>
      <c r="AB4" s="71"/>
      <c r="AC4" s="71"/>
    </row>
    <row r="5" spans="1:35" ht="15.75" customHeight="1">
      <c r="A5" s="3"/>
      <c r="B5" s="132"/>
      <c r="C5" s="132"/>
      <c r="D5" s="744" t="str">
        <f>+'Data Entry'!G4</f>
        <v>Accelerating Access -- Home-Based Care &amp; Indoor Residual Spraying</v>
      </c>
      <c r="E5" s="744"/>
      <c r="F5" s="744"/>
      <c r="G5" s="744"/>
      <c r="H5" s="744"/>
      <c r="I5" s="744"/>
      <c r="J5" s="744"/>
      <c r="K5" s="744"/>
      <c r="L5" s="744"/>
      <c r="M5" s="744"/>
      <c r="N5" s="744"/>
      <c r="P5" s="132" t="str">
        <f>+'Data Entry'!F16</f>
        <v>To:</v>
      </c>
      <c r="Q5" s="316">
        <f>+IF(ISBLANK('Data Entry'!G16),"",'Data Entry'!G16)</f>
        <v>42185</v>
      </c>
      <c r="S5" s="225"/>
      <c r="T5" s="225"/>
      <c r="U5" s="225"/>
      <c r="V5" s="225"/>
      <c r="W5" s="225"/>
      <c r="X5" s="225"/>
      <c r="Y5" s="71"/>
      <c r="Z5" s="71"/>
      <c r="AA5" s="71" t="s">
        <v>50</v>
      </c>
      <c r="AB5" s="71"/>
      <c r="AC5" s="71" t="s">
        <v>270</v>
      </c>
      <c r="AD5" s="225"/>
      <c r="AE5" s="225"/>
      <c r="AF5" s="225"/>
      <c r="AG5" s="225"/>
      <c r="AH5" s="225"/>
      <c r="AI5" s="225"/>
    </row>
    <row r="6" spans="1:35" ht="15.75" customHeight="1">
      <c r="A6" s="3"/>
      <c r="B6" s="132"/>
      <c r="C6" s="132"/>
      <c r="D6" s="224"/>
      <c r="E6" s="224"/>
      <c r="F6" s="791" t="s">
        <v>373</v>
      </c>
      <c r="G6" s="791"/>
      <c r="H6" s="791"/>
      <c r="I6" s="791"/>
      <c r="J6" s="791"/>
      <c r="K6" s="791"/>
      <c r="L6" s="224"/>
      <c r="M6" s="3"/>
      <c r="N6" s="3"/>
      <c r="O6" s="201"/>
      <c r="P6" s="245"/>
      <c r="S6" s="225"/>
      <c r="T6" s="225"/>
      <c r="U6" s="225"/>
      <c r="V6" s="225"/>
      <c r="W6" s="225"/>
      <c r="X6" s="225"/>
      <c r="Y6" s="71"/>
      <c r="Z6" s="71"/>
      <c r="AA6" s="71"/>
      <c r="AB6" s="71"/>
      <c r="AC6" s="71"/>
      <c r="AD6" s="225"/>
      <c r="AE6" s="225"/>
      <c r="AF6" s="225"/>
      <c r="AG6" s="225"/>
      <c r="AH6" s="225"/>
      <c r="AI6" s="225"/>
    </row>
    <row r="7" spans="1:35" ht="3" customHeight="1">
      <c r="A7" s="3"/>
      <c r="B7" s="132"/>
      <c r="C7" s="132"/>
      <c r="D7" s="224"/>
      <c r="E7" s="224"/>
      <c r="F7" s="224"/>
      <c r="G7" s="224"/>
      <c r="H7" s="224"/>
      <c r="I7" s="224"/>
      <c r="J7" s="224"/>
      <c r="K7" s="224"/>
      <c r="L7" s="224"/>
      <c r="M7" s="3"/>
      <c r="N7" s="3"/>
      <c r="O7" s="201"/>
      <c r="P7" s="200"/>
      <c r="Q7" s="200"/>
      <c r="S7" s="225"/>
      <c r="T7" s="225"/>
      <c r="U7" s="225"/>
      <c r="V7" s="225"/>
      <c r="W7" s="225"/>
      <c r="X7" s="225"/>
      <c r="Y7" s="71"/>
      <c r="Z7" s="71"/>
      <c r="AA7" s="71"/>
      <c r="AB7" s="71"/>
      <c r="AC7" s="71"/>
      <c r="AD7" s="225"/>
      <c r="AE7" s="225"/>
      <c r="AF7" s="225"/>
      <c r="AG7" s="225"/>
      <c r="AH7" s="225"/>
      <c r="AI7" s="225"/>
    </row>
    <row r="8" spans="1:35" ht="24" customHeight="1">
      <c r="A8" s="3"/>
      <c r="B8" s="790" t="str">
        <f>+'Data Entry'!B122</f>
        <v>Percentage of population in targeted areas sprayed with IRS in the last 12 months</v>
      </c>
      <c r="C8" s="790"/>
      <c r="D8" s="790"/>
      <c r="E8" s="790"/>
      <c r="F8" s="790" t="str">
        <f>+'Data Entry'!B124</f>
        <v>Proportion of households in targeted areas that received Indoor Residual Spraying during the reporting period</v>
      </c>
      <c r="G8" s="790"/>
      <c r="H8" s="790"/>
      <c r="I8" s="790"/>
      <c r="J8" s="790"/>
      <c r="K8" s="790"/>
      <c r="L8" s="790">
        <f>+'Data Entry'!B126</f>
        <v>0</v>
      </c>
      <c r="M8" s="790"/>
      <c r="N8" s="790"/>
      <c r="O8" s="790"/>
      <c r="P8" s="790"/>
      <c r="Q8" s="790"/>
      <c r="S8" s="225"/>
      <c r="T8" s="225"/>
      <c r="U8" s="225"/>
      <c r="V8" s="225"/>
      <c r="W8" s="225"/>
      <c r="X8" s="225"/>
      <c r="Y8" s="71"/>
      <c r="Z8" s="71"/>
      <c r="AA8" s="71"/>
      <c r="AB8" s="71"/>
      <c r="AC8" s="71"/>
      <c r="AD8" s="225"/>
      <c r="AE8" s="225"/>
      <c r="AF8" s="225"/>
      <c r="AG8" s="225"/>
      <c r="AH8" s="225"/>
      <c r="AI8" s="225"/>
    </row>
    <row r="9" spans="1:35" ht="111" customHeight="1">
      <c r="A9" s="3"/>
      <c r="B9" s="414" t="s">
        <v>12</v>
      </c>
      <c r="C9" s="756" t="s">
        <v>526</v>
      </c>
      <c r="D9" s="759"/>
      <c r="E9" s="760"/>
      <c r="F9" s="415" t="s">
        <v>12</v>
      </c>
      <c r="G9" s="756" t="s">
        <v>527</v>
      </c>
      <c r="H9" s="759"/>
      <c r="I9" s="759"/>
      <c r="J9" s="759"/>
      <c r="K9" s="760"/>
      <c r="L9" s="415" t="s">
        <v>13</v>
      </c>
      <c r="M9" s="756"/>
      <c r="N9" s="757"/>
      <c r="O9" s="757"/>
      <c r="P9" s="757"/>
      <c r="Q9" s="758"/>
      <c r="S9" s="225"/>
      <c r="T9" s="225"/>
      <c r="U9" s="225"/>
      <c r="V9" s="225"/>
      <c r="W9" s="225"/>
      <c r="X9" s="225"/>
      <c r="Y9" s="225"/>
      <c r="Z9" s="225"/>
      <c r="AA9" s="225"/>
      <c r="AB9" s="225"/>
      <c r="AC9" s="225"/>
      <c r="AD9" s="225"/>
      <c r="AE9" s="225"/>
      <c r="AF9" s="225"/>
      <c r="AG9" s="225"/>
      <c r="AH9" s="225"/>
      <c r="AI9" s="225"/>
    </row>
    <row r="10" spans="1:35" ht="18.75" customHeight="1">
      <c r="A10" s="3"/>
      <c r="B10" s="132"/>
      <c r="C10" s="132"/>
      <c r="D10" s="224"/>
      <c r="E10" s="224"/>
      <c r="F10" s="224"/>
      <c r="G10" s="224"/>
      <c r="H10" s="224"/>
      <c r="I10" s="224"/>
      <c r="J10" s="224"/>
      <c r="K10" s="224"/>
      <c r="L10" s="224"/>
      <c r="M10" s="3"/>
      <c r="N10" s="3"/>
      <c r="O10" s="201"/>
      <c r="P10" s="200"/>
      <c r="S10" s="225"/>
      <c r="T10" s="225"/>
      <c r="U10" s="225"/>
      <c r="V10" s="225"/>
      <c r="W10" s="225"/>
      <c r="X10" s="225"/>
      <c r="Y10" s="225"/>
      <c r="Z10" s="225"/>
      <c r="AA10" s="225"/>
      <c r="AB10" s="225"/>
      <c r="AC10" s="225"/>
      <c r="AD10" s="225"/>
      <c r="AE10" s="225"/>
      <c r="AF10" s="225"/>
      <c r="AG10" s="225"/>
      <c r="AH10" s="225"/>
      <c r="AI10" s="225"/>
    </row>
    <row r="11" spans="1:35" ht="18.75" customHeight="1">
      <c r="A11" s="3"/>
      <c r="B11" s="132"/>
      <c r="C11" s="132"/>
      <c r="D11" s="224"/>
      <c r="E11" s="224"/>
      <c r="F11" s="224"/>
      <c r="G11" s="224"/>
      <c r="H11" s="224"/>
      <c r="I11" s="224"/>
      <c r="J11" s="224"/>
      <c r="K11" s="224"/>
      <c r="L11" s="224"/>
      <c r="M11" s="3"/>
      <c r="N11" s="3"/>
      <c r="O11" s="201"/>
      <c r="P11" s="200"/>
      <c r="S11" s="225"/>
      <c r="T11" s="225"/>
      <c r="U11" s="225"/>
      <c r="V11" s="225"/>
      <c r="W11" s="225"/>
      <c r="X11" s="225"/>
      <c r="Y11" s="225"/>
      <c r="Z11" s="225"/>
      <c r="AA11" s="225"/>
      <c r="AB11" s="225"/>
      <c r="AC11" s="225"/>
      <c r="AD11" s="225"/>
      <c r="AE11" s="225"/>
      <c r="AF11" s="225"/>
      <c r="AG11" s="225"/>
      <c r="AH11" s="225"/>
      <c r="AI11" s="225"/>
    </row>
    <row r="12" spans="1:35" ht="18.75" customHeight="1">
      <c r="A12" s="3"/>
      <c r="B12" s="132"/>
      <c r="C12" s="132"/>
      <c r="D12" s="224"/>
      <c r="E12" s="224"/>
      <c r="F12" s="224"/>
      <c r="G12" s="224"/>
      <c r="H12" s="224"/>
      <c r="I12" s="224"/>
      <c r="J12" s="224"/>
      <c r="K12" s="224"/>
      <c r="L12" s="224"/>
      <c r="M12" s="3"/>
      <c r="N12" s="3"/>
      <c r="O12" s="201"/>
      <c r="P12" s="200"/>
      <c r="S12" s="225"/>
      <c r="T12" s="225"/>
      <c r="U12" s="225"/>
      <c r="V12" s="225"/>
      <c r="W12" s="225"/>
      <c r="X12" s="225"/>
      <c r="Y12" s="225"/>
      <c r="Z12" s="225"/>
      <c r="AA12" s="225"/>
      <c r="AB12" s="225"/>
      <c r="AC12" s="225"/>
      <c r="AD12" s="225"/>
      <c r="AE12" s="225"/>
      <c r="AF12" s="225"/>
      <c r="AG12" s="225"/>
      <c r="AH12" s="225"/>
      <c r="AI12" s="225"/>
    </row>
    <row r="13" spans="1:35" ht="18.75" customHeight="1">
      <c r="A13" s="3"/>
      <c r="B13" s="132"/>
      <c r="C13" s="132"/>
      <c r="D13" s="224"/>
      <c r="E13" s="224"/>
      <c r="F13" s="224"/>
      <c r="G13" s="224"/>
      <c r="H13" s="224"/>
      <c r="I13" s="224"/>
      <c r="J13" s="224"/>
      <c r="K13" s="224"/>
      <c r="L13" s="224"/>
      <c r="M13" s="3"/>
      <c r="N13" s="3"/>
      <c r="O13" s="201"/>
      <c r="P13" s="200"/>
      <c r="S13" s="225"/>
      <c r="T13" s="225"/>
      <c r="U13" s="225"/>
      <c r="V13" s="225"/>
      <c r="W13" s="225"/>
      <c r="X13" s="225"/>
      <c r="Y13" s="225"/>
      <c r="Z13" s="225"/>
      <c r="AA13" s="225"/>
      <c r="AB13" s="225"/>
      <c r="AC13" s="225"/>
      <c r="AD13" s="225"/>
      <c r="AE13" s="225"/>
      <c r="AF13" s="225"/>
      <c r="AG13" s="225"/>
      <c r="AH13" s="225"/>
      <c r="AI13" s="225"/>
    </row>
    <row r="14" spans="1:35" ht="18.75" customHeight="1">
      <c r="A14" s="3"/>
      <c r="B14" s="132"/>
      <c r="C14" s="132"/>
      <c r="D14" s="224"/>
      <c r="E14" s="224"/>
      <c r="F14" s="224"/>
      <c r="G14" s="224"/>
      <c r="H14" s="224"/>
      <c r="I14" s="224"/>
      <c r="J14" s="224"/>
      <c r="K14" s="224"/>
      <c r="L14" s="224"/>
      <c r="M14" s="3"/>
      <c r="N14" s="3"/>
      <c r="O14" s="201"/>
      <c r="P14" s="200"/>
      <c r="S14" s="225"/>
      <c r="T14" s="225"/>
      <c r="U14" s="225"/>
      <c r="V14" s="225"/>
      <c r="W14" s="225"/>
      <c r="X14" s="225"/>
      <c r="Y14" s="225"/>
      <c r="Z14" s="225"/>
      <c r="AA14" s="225"/>
      <c r="AB14" s="225"/>
      <c r="AC14" s="225"/>
      <c r="AD14" s="225"/>
      <c r="AE14" s="225"/>
      <c r="AF14" s="225"/>
      <c r="AG14" s="225"/>
      <c r="AH14" s="225"/>
      <c r="AI14" s="225"/>
    </row>
    <row r="15" spans="1:35" ht="18.75" customHeight="1">
      <c r="A15" s="3"/>
      <c r="B15" s="132"/>
      <c r="C15" s="132"/>
      <c r="D15" s="224"/>
      <c r="E15" s="224"/>
      <c r="F15" s="224"/>
      <c r="G15" s="224"/>
      <c r="H15" s="224"/>
      <c r="I15" s="224"/>
      <c r="J15" s="224"/>
      <c r="K15" s="224"/>
      <c r="L15" s="224"/>
      <c r="M15" s="3"/>
      <c r="N15" s="3"/>
      <c r="O15" s="201"/>
      <c r="P15" s="200"/>
      <c r="S15" s="225"/>
      <c r="T15" s="225"/>
      <c r="U15" s="225"/>
      <c r="V15" s="225"/>
      <c r="W15" s="225"/>
      <c r="X15" s="225"/>
      <c r="Y15" s="225"/>
      <c r="Z15" s="225"/>
      <c r="AA15" s="225"/>
      <c r="AB15" s="225"/>
      <c r="AC15" s="225"/>
      <c r="AD15" s="225"/>
      <c r="AE15" s="225"/>
      <c r="AF15" s="225"/>
      <c r="AG15" s="225"/>
      <c r="AH15" s="225"/>
      <c r="AI15" s="225"/>
    </row>
    <row r="16" spans="1:35" ht="18.75" customHeight="1">
      <c r="A16" s="3"/>
      <c r="B16" s="132"/>
      <c r="C16" s="132"/>
      <c r="D16" s="224"/>
      <c r="E16" s="224"/>
      <c r="F16" s="224"/>
      <c r="G16" s="224"/>
      <c r="H16" s="224"/>
      <c r="I16" s="224"/>
      <c r="J16" s="224"/>
      <c r="K16" s="224"/>
      <c r="L16" s="224"/>
      <c r="M16" s="3"/>
      <c r="N16" s="3"/>
      <c r="O16" s="201"/>
      <c r="P16" s="200"/>
      <c r="S16" s="225"/>
      <c r="T16" s="225"/>
      <c r="U16" s="225"/>
      <c r="V16" s="225"/>
      <c r="W16" s="225"/>
      <c r="X16" s="225"/>
      <c r="Y16" s="225"/>
      <c r="Z16" s="225"/>
      <c r="AA16" s="225"/>
      <c r="AB16" s="225"/>
      <c r="AC16" s="225"/>
      <c r="AD16" s="225"/>
      <c r="AE16" s="225"/>
      <c r="AF16" s="225"/>
      <c r="AG16" s="225"/>
      <c r="AH16" s="225"/>
      <c r="AI16" s="225"/>
    </row>
    <row r="17" spans="1:35" ht="17.25" customHeight="1">
      <c r="A17" s="3"/>
      <c r="B17" s="498"/>
      <c r="C17" s="498"/>
      <c r="D17" s="499"/>
      <c r="E17" s="224"/>
      <c r="F17" s="224"/>
      <c r="G17" s="224"/>
      <c r="H17" s="224"/>
      <c r="I17" s="224"/>
      <c r="J17" s="224"/>
      <c r="K17" s="224"/>
      <c r="L17" s="224"/>
      <c r="M17" s="3"/>
      <c r="N17" s="3"/>
      <c r="O17" s="201"/>
      <c r="P17" s="200"/>
      <c r="S17" s="225"/>
      <c r="T17" s="225"/>
      <c r="U17" s="225"/>
      <c r="V17" s="225"/>
      <c r="W17" s="225"/>
      <c r="X17" s="225"/>
      <c r="Y17" s="225"/>
      <c r="Z17" s="225"/>
      <c r="AA17" s="225"/>
      <c r="AB17" s="225"/>
      <c r="AC17" s="225"/>
      <c r="AD17" s="225"/>
      <c r="AE17" s="225"/>
      <c r="AF17" s="225"/>
      <c r="AG17" s="225"/>
      <c r="AH17" s="225"/>
      <c r="AI17" s="225"/>
    </row>
    <row r="18" spans="1:35" ht="6" customHeight="1">
      <c r="A18" s="3"/>
      <c r="B18" s="500"/>
      <c r="C18" s="498"/>
      <c r="D18" s="501"/>
      <c r="E18" s="761"/>
      <c r="F18" s="761"/>
      <c r="G18" s="761"/>
      <c r="H18" s="761"/>
      <c r="I18" s="761"/>
      <c r="J18" s="761"/>
      <c r="K18" s="761"/>
      <c r="L18" s="3"/>
      <c r="M18" s="3"/>
      <c r="N18" s="3"/>
      <c r="O18" s="3"/>
      <c r="P18" s="3"/>
      <c r="S18" s="225"/>
      <c r="T18" s="225"/>
      <c r="U18" s="225"/>
      <c r="V18" s="225"/>
      <c r="W18" s="225"/>
      <c r="X18" s="225"/>
      <c r="Y18" s="225"/>
      <c r="Z18" s="225"/>
      <c r="AA18" s="225"/>
      <c r="AB18" s="225"/>
      <c r="AC18" s="225"/>
      <c r="AD18" s="225"/>
      <c r="AE18" s="225"/>
      <c r="AF18" s="225"/>
      <c r="AG18" s="225"/>
      <c r="AH18" s="225"/>
      <c r="AI18" s="225"/>
    </row>
    <row r="19" spans="1:35" ht="21" customHeight="1">
      <c r="A19" s="3"/>
      <c r="B19" s="762" t="s">
        <v>95</v>
      </c>
      <c r="C19" s="762"/>
      <c r="D19" s="762"/>
      <c r="E19" s="143" t="s">
        <v>92</v>
      </c>
      <c r="F19" s="143" t="s">
        <v>96</v>
      </c>
      <c r="G19" s="780" t="s">
        <v>328</v>
      </c>
      <c r="H19" s="781"/>
      <c r="I19" s="782" t="s">
        <v>329</v>
      </c>
      <c r="J19" s="783"/>
      <c r="K19" s="314" t="s">
        <v>411</v>
      </c>
      <c r="L19" s="784" t="s">
        <v>99</v>
      </c>
      <c r="M19" s="785"/>
      <c r="N19" s="785"/>
      <c r="O19" s="785"/>
      <c r="P19" s="785"/>
      <c r="Q19" s="786"/>
      <c r="S19" s="65" t="s">
        <v>97</v>
      </c>
      <c r="T19" s="66">
        <v>0</v>
      </c>
      <c r="U19" s="67">
        <v>0.3</v>
      </c>
      <c r="V19" s="67">
        <v>0.6</v>
      </c>
      <c r="W19" s="67">
        <v>0.9</v>
      </c>
      <c r="X19" s="67">
        <v>1</v>
      </c>
      <c r="Y19" s="71"/>
      <c r="Z19" s="71"/>
      <c r="AA19" s="65" t="s">
        <v>97</v>
      </c>
      <c r="AB19" s="66">
        <v>0</v>
      </c>
      <c r="AC19" s="67">
        <v>0.2</v>
      </c>
      <c r="AD19" s="67">
        <v>0.4</v>
      </c>
      <c r="AE19" s="67">
        <v>0.6</v>
      </c>
      <c r="AF19" s="67">
        <v>0.8</v>
      </c>
      <c r="AG19" s="71"/>
      <c r="AH19" s="71"/>
      <c r="AI19" s="71"/>
    </row>
    <row r="20" spans="1:35" ht="82.5" customHeight="1">
      <c r="A20" s="3"/>
      <c r="B20" s="754" t="str">
        <f>+'Data Entry'!B122</f>
        <v>Percentage of population in targeted areas sprayed with IRS in the last 12 months</v>
      </c>
      <c r="C20" s="754"/>
      <c r="D20" s="754"/>
      <c r="E20" s="481">
        <f ca="1">OFFSET('Data Entry'!$G$121,1,RIGHT('Data Entry'!$C$16,LEN('Data Entry'!$C$16)-1),1,1)</f>
        <v>871071</v>
      </c>
      <c r="F20" s="481">
        <f ca="1">OFFSET('Data Entry'!$G$121,2,RIGHT('Data Entry'!$C$16,LEN('Data Entry'!$C$16)-1),1,1)</f>
        <v>771553</v>
      </c>
      <c r="G20" s="766">
        <f t="shared" ref="G20:G29" ca="1" si="0">+IF(ISERROR(F20/E20),0,F20/E20)</f>
        <v>0.88575213731142466</v>
      </c>
      <c r="H20" s="767"/>
      <c r="I20" s="767"/>
      <c r="J20" s="767"/>
      <c r="K20" s="768"/>
      <c r="L20" s="755" t="s">
        <v>525</v>
      </c>
      <c r="M20" s="755"/>
      <c r="N20" s="755"/>
      <c r="O20" s="755"/>
      <c r="P20" s="755"/>
      <c r="Q20" s="755"/>
      <c r="R20" s="459"/>
      <c r="S20" s="458"/>
      <c r="T20" s="68">
        <v>0.3</v>
      </c>
      <c r="U20" s="67">
        <v>0.6</v>
      </c>
      <c r="V20" s="67">
        <v>0.9</v>
      </c>
      <c r="W20" s="67">
        <v>1</v>
      </c>
      <c r="X20" s="67">
        <v>2</v>
      </c>
      <c r="Y20" s="71"/>
      <c r="Z20" s="71"/>
      <c r="AA20" s="65" t="s">
        <v>98</v>
      </c>
      <c r="AB20" s="68">
        <v>0.2</v>
      </c>
      <c r="AC20" s="67">
        <v>0.4</v>
      </c>
      <c r="AD20" s="67">
        <v>0.6</v>
      </c>
      <c r="AE20" s="67">
        <v>0.8</v>
      </c>
      <c r="AF20" s="67">
        <v>1</v>
      </c>
      <c r="AG20" s="71"/>
      <c r="AH20" s="71"/>
      <c r="AI20" s="71"/>
    </row>
    <row r="21" spans="1:35" ht="83.25" customHeight="1">
      <c r="A21" s="3"/>
      <c r="B21" s="754" t="str">
        <f>+'Data Entry'!B124</f>
        <v>Proportion of households in targeted areas that received Indoor Residual Spraying during the reporting period</v>
      </c>
      <c r="C21" s="754"/>
      <c r="D21" s="754"/>
      <c r="E21" s="144">
        <f ca="1">OFFSET('Data Entry'!$G$121,3,RIGHT('Data Entry'!$C$16,LEN('Data Entry'!$C$16)-1),1,1)</f>
        <v>141960</v>
      </c>
      <c r="F21" s="144">
        <f ca="1">OFFSET('Data Entry'!$G$121,4,RIGHT('Data Entry'!$C$16,LEN('Data Entry'!$C$16)-1),1,1)</f>
        <v>122622</v>
      </c>
      <c r="G21" s="766">
        <f t="shared" ca="1" si="0"/>
        <v>0.86377852916314457</v>
      </c>
      <c r="H21" s="767"/>
      <c r="I21" s="767"/>
      <c r="J21" s="767"/>
      <c r="K21" s="768"/>
      <c r="L21" s="787" t="s">
        <v>524</v>
      </c>
      <c r="M21" s="787"/>
      <c r="N21" s="787"/>
      <c r="O21" s="787"/>
      <c r="P21" s="787"/>
      <c r="Q21" s="787"/>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271</v>
      </c>
      <c r="AA21" s="69" t="s">
        <v>270</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41.25" customHeight="1">
      <c r="A22" s="3"/>
      <c r="B22" s="754">
        <f>+'Data Entry'!B126</f>
        <v>0</v>
      </c>
      <c r="C22" s="754"/>
      <c r="D22" s="754"/>
      <c r="E22" s="144">
        <f ca="1">OFFSET('Data Entry'!$G$121,5,RIGHT('Data Entry'!$C$16,LEN('Data Entry'!$C$16)-1),1,1)</f>
        <v>0</v>
      </c>
      <c r="F22" s="144">
        <f ca="1">OFFSET('Data Entry'!$G$121,6,RIGHT('Data Entry'!$C$16,LEN('Data Entry'!$C$16)-1),1,1)</f>
        <v>0</v>
      </c>
      <c r="G22" s="766">
        <f t="shared" ca="1" si="0"/>
        <v>0</v>
      </c>
      <c r="H22" s="767"/>
      <c r="I22" s="767"/>
      <c r="J22" s="767"/>
      <c r="K22" s="768"/>
      <c r="L22" s="755"/>
      <c r="M22" s="755"/>
      <c r="N22" s="755"/>
      <c r="O22" s="755"/>
      <c r="P22" s="755"/>
      <c r="Q22" s="755"/>
      <c r="S22" s="69"/>
      <c r="T22" s="67" t="e">
        <f t="shared" ref="T22:W33" si="1">IF($K20&gt;T$19,IF($K20&lt;=T$20,$K20,NA()),NA())</f>
        <v>#N/A</v>
      </c>
      <c r="U22" s="67" t="e">
        <f t="shared" si="1"/>
        <v>#N/A</v>
      </c>
      <c r="V22" s="67" t="e">
        <f t="shared" si="1"/>
        <v>#N/A</v>
      </c>
      <c r="W22" s="67" t="e">
        <f t="shared" si="1"/>
        <v>#N/A</v>
      </c>
      <c r="X22" s="67" t="e">
        <f>IF($K20&gt;X$19,IF($K20&lt;=X$20,1,NA()),NA())</f>
        <v>#N/A</v>
      </c>
      <c r="Y22" s="71"/>
      <c r="Z22" s="197"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75" customHeight="1">
      <c r="A23" s="3"/>
      <c r="B23" s="775">
        <f>+'Data Entry'!B128</f>
        <v>0</v>
      </c>
      <c r="C23" s="776"/>
      <c r="D23" s="777"/>
      <c r="E23" s="144">
        <f ca="1">OFFSET('Data Entry'!$G$121,7,RIGHT('Data Entry'!$C$16,LEN('Data Entry'!$C$16)-1),1,1)</f>
        <v>0</v>
      </c>
      <c r="F23" s="144">
        <f ca="1">OFFSET('Data Entry'!$G$121,8,RIGHT('Data Entry'!$C$16,LEN('Data Entry'!$C$16)-1),1,1)</f>
        <v>0</v>
      </c>
      <c r="G23" s="766">
        <f t="shared" ca="1" si="0"/>
        <v>0</v>
      </c>
      <c r="H23" s="767"/>
      <c r="I23" s="767"/>
      <c r="J23" s="767"/>
      <c r="K23" s="768"/>
      <c r="L23" s="755"/>
      <c r="M23" s="755"/>
      <c r="N23" s="755"/>
      <c r="O23" s="755"/>
      <c r="P23" s="755"/>
      <c r="Q23" s="755"/>
      <c r="S23" s="69"/>
      <c r="T23" s="67" t="e">
        <f t="shared" si="1"/>
        <v>#N/A</v>
      </c>
      <c r="U23" s="67" t="e">
        <f t="shared" si="1"/>
        <v>#N/A</v>
      </c>
      <c r="V23" s="67" t="e">
        <f t="shared" si="1"/>
        <v>#N/A</v>
      </c>
      <c r="W23" s="67" t="e">
        <f t="shared" si="1"/>
        <v>#N/A</v>
      </c>
      <c r="X23" s="67" t="e">
        <f>IF($K21&gt;X$19,IF($K21&lt;=X$20,1,1),NA())</f>
        <v>#N/A</v>
      </c>
      <c r="Y23" s="71"/>
      <c r="Z23" s="197"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65.25" customHeight="1">
      <c r="A24" s="3"/>
      <c r="B24" s="754">
        <f>+'Data Entry'!B130</f>
        <v>0</v>
      </c>
      <c r="C24" s="754"/>
      <c r="D24" s="754"/>
      <c r="E24" s="523">
        <f ca="1">OFFSET('Data Entry'!$G$121,9,RIGHT('Data Entry'!$C$16,LEN('Data Entry'!$C$16)-1),1,1)</f>
        <v>0</v>
      </c>
      <c r="F24" s="523">
        <f ca="1">OFFSET('Data Entry'!$G$121,10,RIGHT('Data Entry'!$C$16,LEN('Data Entry'!$C$16)-1),1,1)</f>
        <v>0</v>
      </c>
      <c r="G24" s="766">
        <f t="shared" ca="1" si="0"/>
        <v>0</v>
      </c>
      <c r="H24" s="767"/>
      <c r="I24" s="767"/>
      <c r="J24" s="767"/>
      <c r="K24" s="768"/>
      <c r="L24" s="755"/>
      <c r="M24" s="755"/>
      <c r="N24" s="755"/>
      <c r="O24" s="755"/>
      <c r="P24" s="755"/>
      <c r="Q24" s="755"/>
      <c r="S24" s="69"/>
      <c r="T24" s="67" t="e">
        <f t="shared" si="1"/>
        <v>#N/A</v>
      </c>
      <c r="U24" s="67" t="e">
        <f t="shared" si="1"/>
        <v>#N/A</v>
      </c>
      <c r="V24" s="67" t="e">
        <f t="shared" si="1"/>
        <v>#N/A</v>
      </c>
      <c r="W24" s="67" t="e">
        <f t="shared" si="1"/>
        <v>#N/A</v>
      </c>
      <c r="X24" s="67" t="e">
        <f t="shared" ref="X24:X33" si="3">IF($K22&gt;X$19,IF($K22&lt;=X$20,1,NA()),NA())</f>
        <v>#N/A</v>
      </c>
      <c r="Y24" s="71"/>
      <c r="Z24" s="197"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48.75" customHeight="1">
      <c r="A25" s="3"/>
      <c r="B25" s="754">
        <f>+'Data Entry'!B132</f>
        <v>0</v>
      </c>
      <c r="C25" s="754"/>
      <c r="D25" s="754"/>
      <c r="E25" s="144">
        <f ca="1">OFFSET('Data Entry'!$G$121,11,RIGHT('Data Entry'!$C$16,LEN('Data Entry'!$C$16)-1),1,1)</f>
        <v>0</v>
      </c>
      <c r="F25" s="144">
        <f ca="1">OFFSET('Data Entry'!$G$121,12,RIGHT('Data Entry'!$C$16,LEN('Data Entry'!$C$16)-1),1,1)</f>
        <v>0</v>
      </c>
      <c r="G25" s="766">
        <f t="shared" ca="1" si="0"/>
        <v>0</v>
      </c>
      <c r="H25" s="767"/>
      <c r="I25" s="767"/>
      <c r="J25" s="767"/>
      <c r="K25" s="768"/>
      <c r="L25" s="755"/>
      <c r="M25" s="755"/>
      <c r="N25" s="755"/>
      <c r="O25" s="755"/>
      <c r="P25" s="755"/>
      <c r="Q25" s="755"/>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customHeight="1">
      <c r="A26" s="3"/>
      <c r="B26" s="754">
        <f>+'Data Entry'!B134</f>
        <v>0</v>
      </c>
      <c r="C26" s="754"/>
      <c r="D26" s="754"/>
      <c r="E26" s="144">
        <f ca="1">OFFSET('Data Entry'!$G$121,13,RIGHT('Data Entry'!$C$16,LEN('Data Entry'!$C$16)-1),1,1)</f>
        <v>0</v>
      </c>
      <c r="F26" s="144">
        <f ca="1">OFFSET('Data Entry'!$G$121,14,RIGHT('Data Entry'!$C$16,LEN('Data Entry'!$C$16)-1),1,1)</f>
        <v>0</v>
      </c>
      <c r="G26" s="766">
        <f t="shared" ca="1" si="0"/>
        <v>0</v>
      </c>
      <c r="H26" s="767"/>
      <c r="I26" s="767"/>
      <c r="J26" s="767"/>
      <c r="K26" s="768"/>
      <c r="L26" s="755"/>
      <c r="M26" s="755"/>
      <c r="N26" s="755"/>
      <c r="O26" s="755"/>
      <c r="P26" s="755"/>
      <c r="Q26" s="755"/>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customHeight="1">
      <c r="A27" s="3"/>
      <c r="B27" s="774">
        <f>+'Data Entry'!B136</f>
        <v>0</v>
      </c>
      <c r="C27" s="754"/>
      <c r="D27" s="754"/>
      <c r="E27" s="497">
        <f ca="1">OFFSET('Data Entry'!$G$121,15,RIGHT('Data Entry'!$C$16,LEN('Data Entry'!$C$16)-1),1,1)</f>
        <v>0</v>
      </c>
      <c r="F27" s="497">
        <f ca="1">OFFSET('Data Entry'!$G$121,16,RIGHT('Data Entry'!$C$16,LEN('Data Entry'!$C$16)-1),1,1)</f>
        <v>0</v>
      </c>
      <c r="G27" s="766">
        <f ca="1">+IF(ISERROR(F27/E27),0,F27/E27)</f>
        <v>0</v>
      </c>
      <c r="H27" s="767"/>
      <c r="I27" s="767"/>
      <c r="J27" s="767"/>
      <c r="K27" s="768"/>
      <c r="L27" s="755"/>
      <c r="M27" s="755"/>
      <c r="N27" s="755"/>
      <c r="O27" s="755"/>
      <c r="P27" s="755"/>
      <c r="Q27" s="755"/>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24" customHeight="1">
      <c r="A28" s="3"/>
      <c r="B28" s="754">
        <f>+'Data Entry'!B138</f>
        <v>0</v>
      </c>
      <c r="C28" s="754"/>
      <c r="D28" s="754"/>
      <c r="E28" s="497">
        <f ca="1">OFFSET('Data Entry'!$G$121,17,RIGHT('Data Entry'!$C$16,LEN('Data Entry'!$C$16)-1),1,1)</f>
        <v>0</v>
      </c>
      <c r="F28" s="497">
        <f ca="1">OFFSET('Data Entry'!$G$121,18,RIGHT('Data Entry'!$C$16,LEN('Data Entry'!$C$16)-1),1,1)</f>
        <v>0</v>
      </c>
      <c r="G28" s="766">
        <f ca="1">+IF(ISERROR(F28/E28),0,F28/E28)</f>
        <v>0</v>
      </c>
      <c r="H28" s="767"/>
      <c r="I28" s="767"/>
      <c r="J28" s="767"/>
      <c r="K28" s="768"/>
      <c r="L28" s="755"/>
      <c r="M28" s="755"/>
      <c r="N28" s="755"/>
      <c r="O28" s="755"/>
      <c r="P28" s="755"/>
      <c r="Q28" s="755"/>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5.5" customHeight="1">
      <c r="A29" s="3"/>
      <c r="B29" s="775"/>
      <c r="C29" s="776"/>
      <c r="D29" s="777"/>
      <c r="E29" s="497"/>
      <c r="F29" s="497"/>
      <c r="G29" s="769">
        <f t="shared" si="0"/>
        <v>0</v>
      </c>
      <c r="H29" s="770"/>
      <c r="I29" s="770"/>
      <c r="J29" s="770"/>
      <c r="K29" s="771"/>
      <c r="L29" s="755"/>
      <c r="M29" s="755"/>
      <c r="N29" s="755"/>
      <c r="O29" s="755"/>
      <c r="P29" s="755"/>
      <c r="Q29" s="755"/>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73"/>
      <c r="C30" s="773"/>
      <c r="D30" s="773"/>
      <c r="E30" s="773"/>
      <c r="F30" s="772"/>
      <c r="G30" s="772"/>
      <c r="H30" s="772"/>
      <c r="I30" s="772"/>
      <c r="J30" s="772"/>
      <c r="K30" s="772"/>
      <c r="L30" s="779"/>
      <c r="M30" s="779"/>
      <c r="N30" s="779"/>
      <c r="O30" s="779"/>
      <c r="P30" s="779"/>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78"/>
      <c r="C31" s="778"/>
      <c r="D31" s="778"/>
      <c r="E31" s="765"/>
      <c r="F31" s="763"/>
      <c r="G31" s="764"/>
      <c r="H31" s="764"/>
      <c r="I31" s="764"/>
      <c r="J31" s="764"/>
      <c r="K31" s="765"/>
      <c r="L31" s="763"/>
      <c r="M31" s="764"/>
      <c r="N31" s="764"/>
      <c r="O31" s="764"/>
      <c r="P31" s="764"/>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26"/>
      <c r="C32" s="226"/>
      <c r="D32" s="226"/>
      <c r="E32" s="226"/>
      <c r="F32" s="226"/>
      <c r="G32" s="226"/>
      <c r="H32" s="227"/>
      <c r="I32" s="226"/>
      <c r="J32" s="226"/>
      <c r="K32" s="226"/>
      <c r="L32" s="226"/>
      <c r="M32" s="226"/>
      <c r="N32" s="226"/>
      <c r="O32" s="226"/>
      <c r="P32" s="226"/>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88"/>
      <c r="C33" s="788"/>
      <c r="D33" s="788"/>
      <c r="E33" s="788"/>
      <c r="F33" s="788"/>
      <c r="G33" s="788"/>
      <c r="H33" s="788"/>
      <c r="I33" s="788"/>
      <c r="J33" s="788"/>
      <c r="K33" s="788"/>
      <c r="L33" s="226"/>
      <c r="M33" s="226"/>
      <c r="N33" s="226"/>
      <c r="O33" s="226"/>
      <c r="P33" s="226"/>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88"/>
      <c r="C34" s="788"/>
      <c r="D34" s="788"/>
      <c r="E34" s="788"/>
      <c r="F34" s="788"/>
      <c r="G34" s="788"/>
      <c r="H34" s="788"/>
      <c r="I34" s="788"/>
      <c r="J34" s="788"/>
      <c r="K34" s="788"/>
      <c r="L34" s="226"/>
      <c r="M34" s="226"/>
      <c r="N34" s="226"/>
      <c r="O34" s="226"/>
      <c r="P34" s="226"/>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99"/>
      <c r="J35" s="99"/>
      <c r="K35" s="99"/>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5"/>
      <c r="J36" s="146"/>
      <c r="K36" s="146"/>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7"/>
      <c r="J37" s="148"/>
      <c r="K37" s="101"/>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9"/>
      <c r="J38" s="148"/>
      <c r="K38" s="101"/>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7"/>
      <c r="J39" s="148"/>
      <c r="K39" s="101"/>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sheetProtection password="CFC9" sheet="1" objects="1" scenarios="1"/>
  <mergeCells count="58">
    <mergeCell ref="B2:Q2"/>
    <mergeCell ref="O3:P3"/>
    <mergeCell ref="D5:N5"/>
    <mergeCell ref="L8:Q8"/>
    <mergeCell ref="F6:K6"/>
    <mergeCell ref="E3:K3"/>
    <mergeCell ref="C4:D4"/>
    <mergeCell ref="C3:D3"/>
    <mergeCell ref="E4:L4"/>
    <mergeCell ref="B8:E8"/>
    <mergeCell ref="F8:K8"/>
    <mergeCell ref="B33:D34"/>
    <mergeCell ref="E33:G34"/>
    <mergeCell ref="H33:K34"/>
    <mergeCell ref="B23:D23"/>
    <mergeCell ref="B24:D24"/>
    <mergeCell ref="B25:D25"/>
    <mergeCell ref="G23:K23"/>
    <mergeCell ref="G24:K24"/>
    <mergeCell ref="G25:K25"/>
    <mergeCell ref="G26:K26"/>
    <mergeCell ref="B26:D26"/>
    <mergeCell ref="L27:Q27"/>
    <mergeCell ref="G19:H19"/>
    <mergeCell ref="I19:J19"/>
    <mergeCell ref="L19:Q19"/>
    <mergeCell ref="L25:Q25"/>
    <mergeCell ref="L20:Q20"/>
    <mergeCell ref="L21:Q21"/>
    <mergeCell ref="G20:K20"/>
    <mergeCell ref="G21:K21"/>
    <mergeCell ref="G22:K22"/>
    <mergeCell ref="L29:Q29"/>
    <mergeCell ref="F31:K31"/>
    <mergeCell ref="B21:D21"/>
    <mergeCell ref="G28:K28"/>
    <mergeCell ref="G29:K29"/>
    <mergeCell ref="F30:K30"/>
    <mergeCell ref="B30:E30"/>
    <mergeCell ref="B27:D27"/>
    <mergeCell ref="B22:D22"/>
    <mergeCell ref="B29:D29"/>
    <mergeCell ref="G27:K27"/>
    <mergeCell ref="B31:E31"/>
    <mergeCell ref="L31:P31"/>
    <mergeCell ref="L30:P30"/>
    <mergeCell ref="L28:Q28"/>
    <mergeCell ref="B28:D28"/>
    <mergeCell ref="M9:Q9"/>
    <mergeCell ref="C9:E9"/>
    <mergeCell ref="G9:K9"/>
    <mergeCell ref="E18:K18"/>
    <mergeCell ref="B19:D19"/>
    <mergeCell ref="B20:D20"/>
    <mergeCell ref="L22:Q22"/>
    <mergeCell ref="L23:Q23"/>
    <mergeCell ref="L24:Q24"/>
    <mergeCell ref="L26:Q26"/>
  </mergeCells>
  <phoneticPr fontId="31" type="noConversion"/>
  <conditionalFormatting sqref="C4:D4">
    <cfRule type="cellIs" dxfId="32" priority="56" stopIfTrue="1" operator="equal">
      <formula>"C"</formula>
    </cfRule>
    <cfRule type="cellIs" dxfId="31" priority="57" stopIfTrue="1" operator="equal">
      <formula>"B2"</formula>
    </cfRule>
    <cfRule type="cellIs" dxfId="30" priority="58" stopIfTrue="1" operator="equal">
      <formula>"B1"</formula>
    </cfRule>
  </conditionalFormatting>
  <conditionalFormatting sqref="G20:G26">
    <cfRule type="cellIs" dxfId="29" priority="62" stopIfTrue="1" operator="between">
      <formula>0</formula>
      <formula>0.599</formula>
    </cfRule>
    <cfRule type="cellIs" dxfId="28" priority="63" stopIfTrue="1" operator="between">
      <formula>0.6</formula>
      <formula>0.899</formula>
    </cfRule>
    <cfRule type="cellIs" dxfId="27" priority="64" stopIfTrue="1" operator="greaterThanOrEqual">
      <formula>0.9</formula>
    </cfRule>
  </conditionalFormatting>
  <conditionalFormatting sqref="G27:K29">
    <cfRule type="cellIs" dxfId="26" priority="71" stopIfTrue="1" operator="between">
      <formula>0.1</formula>
      <formula>0.599</formula>
    </cfRule>
    <cfRule type="cellIs" dxfId="25" priority="72" stopIfTrue="1" operator="between">
      <formula>0.6</formula>
      <formula>0.899</formula>
    </cfRule>
    <cfRule type="cellIs" dxfId="24" priority="73" stopIfTrue="1" operator="greaterThanOrEqual">
      <formula>0.9</formula>
    </cfRule>
  </conditionalFormatting>
  <conditionalFormatting sqref="G28">
    <cfRule type="cellIs" dxfId="23" priority="4" stopIfTrue="1" operator="between">
      <formula>0</formula>
      <formula>0.599</formula>
    </cfRule>
    <cfRule type="cellIs" dxfId="22" priority="5" stopIfTrue="1" operator="between">
      <formula>0.6</formula>
      <formula>0.899</formula>
    </cfRule>
    <cfRule type="cellIs" dxfId="21" priority="6" stopIfTrue="1" operator="greaterThanOrEqual">
      <formula>0.9</formula>
    </cfRule>
  </conditionalFormatting>
  <conditionalFormatting sqref="G27">
    <cfRule type="cellIs" dxfId="20" priority="1" stopIfTrue="1" operator="between">
      <formula>0</formula>
      <formula>0.599</formula>
    </cfRule>
    <cfRule type="cellIs" dxfId="19" priority="2" stopIfTrue="1" operator="between">
      <formula>0.6</formula>
      <formula>0.899</formula>
    </cfRule>
    <cfRule type="cellIs" dxfId="18" priority="3"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alignWithMargins="0">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3" zoomScale="120" zoomScaleNormal="120" zoomScalePageLayoutView="120" workbookViewId="0">
      <selection activeCell="C27" sqref="C27:F27"/>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0"/>
      <c r="E1" s="231"/>
    </row>
    <row r="2" spans="1:16" ht="27.75" customHeight="1">
      <c r="B2" s="804" t="str">
        <f>'Grant Detail'!B3:J3</f>
        <v>Dashboard:  Ghana - MALARIA  (AngloGold Asanti (Ghana) Malaria Ltd)</v>
      </c>
      <c r="C2" s="804"/>
      <c r="D2" s="804"/>
      <c r="E2" s="804"/>
      <c r="F2" s="804"/>
      <c r="G2" s="804"/>
      <c r="H2" s="804"/>
      <c r="I2" s="804"/>
      <c r="J2" s="804"/>
      <c r="K2" s="804"/>
      <c r="L2" s="804"/>
      <c r="M2" s="26"/>
      <c r="N2" s="26"/>
      <c r="O2" s="26"/>
      <c r="P2" s="26"/>
    </row>
    <row r="3" spans="1:16">
      <c r="B3" s="24" t="str">
        <f>+IF('Data Entry'!G8="Please Select","",'Data Entry'!G8)</f>
        <v>1</v>
      </c>
      <c r="C3" s="796" t="str">
        <f>+IF('Data Entry'!I8="Please Select","",'Data Entry'!I8)</f>
        <v>New Funding Model</v>
      </c>
      <c r="D3" s="796"/>
      <c r="E3" s="797"/>
      <c r="F3" s="797"/>
      <c r="G3" s="797"/>
      <c r="H3" s="797"/>
      <c r="I3" s="797"/>
      <c r="J3" s="805" t="str">
        <f>+'Data Entry'!B16</f>
        <v>Report Period:</v>
      </c>
      <c r="K3" s="805"/>
      <c r="L3" s="198" t="str">
        <f>+'Data Entry'!C16</f>
        <v>P2</v>
      </c>
    </row>
    <row r="4" spans="1:16">
      <c r="B4" s="24" t="str">
        <f>+'Data Entry'!B12</f>
        <v>Latest Rating:</v>
      </c>
      <c r="C4" s="746" t="str">
        <f>+IF('Data Entry'!C12="Please Select","",'Data Entry'!C12)</f>
        <v>A2</v>
      </c>
      <c r="D4" s="746"/>
      <c r="E4" s="797" t="str">
        <f>+'Data Entry'!C8</f>
        <v>AngloGold Asanti (Ghana) Malaria Ltd</v>
      </c>
      <c r="F4" s="797"/>
      <c r="G4" s="797"/>
      <c r="H4" s="797"/>
      <c r="I4" s="797"/>
      <c r="J4" s="805" t="str">
        <f>+'Data Entry'!D16</f>
        <v>From:</v>
      </c>
      <c r="K4" s="806"/>
      <c r="L4" s="200">
        <f>+IF(ISBLANK('Data Entry'!E16),"",'Data Entry'!E16)</f>
        <v>42095</v>
      </c>
    </row>
    <row r="5" spans="1:16" ht="18.75" customHeight="1">
      <c r="B5" s="24"/>
      <c r="C5" s="24"/>
      <c r="D5" s="797" t="str">
        <f>+'Data Entry'!G4</f>
        <v>Accelerating Access -- Home-Based Care &amp; Indoor Residual Spraying</v>
      </c>
      <c r="E5" s="797"/>
      <c r="F5" s="797"/>
      <c r="G5" s="797"/>
      <c r="H5" s="797"/>
      <c r="I5" s="797"/>
      <c r="J5" s="797"/>
      <c r="K5" s="24" t="str">
        <f>+'Data Entry'!F16</f>
        <v>To:</v>
      </c>
      <c r="L5" s="200">
        <f>+IF(ISBLANK('Data Entry'!G16),"",'Data Entry'!G16)</f>
        <v>42185</v>
      </c>
    </row>
    <row r="6" spans="1:16" ht="18.75">
      <c r="B6" s="23"/>
      <c r="C6" s="24"/>
      <c r="D6" s="25"/>
      <c r="E6" s="802" t="s">
        <v>76</v>
      </c>
      <c r="F6" s="802"/>
      <c r="G6" s="802"/>
      <c r="H6" s="802"/>
      <c r="I6" s="802"/>
    </row>
    <row r="7" spans="1:16">
      <c r="B7" s="350" t="str">
        <f>+'Data Entry'!B73&amp;"                "&amp;+J3&amp;" "&amp;+L3</f>
        <v>M1: Status of Conditions Precedent (CPs) and Time Bound Actions (TBAs)                Report Period: P2</v>
      </c>
      <c r="C7" s="21"/>
      <c r="H7" s="350" t="str">
        <f>+'Data Entry'!B80&amp;"                                                                             "&amp;+J3&amp;"  "&amp;+L3</f>
        <v>M2: Status of key PR management positions                                                                             Report Period:  P2</v>
      </c>
    </row>
    <row r="8" spans="1:16" ht="26.25" customHeight="1">
      <c r="B8" s="329" t="s">
        <v>16</v>
      </c>
      <c r="C8" s="732" t="s">
        <v>503</v>
      </c>
      <c r="D8" s="733"/>
      <c r="E8" s="733"/>
      <c r="F8" s="734"/>
      <c r="G8" s="351"/>
      <c r="H8" s="328" t="s">
        <v>16</v>
      </c>
      <c r="I8" s="732" t="s">
        <v>494</v>
      </c>
      <c r="J8" s="735"/>
      <c r="K8" s="735"/>
      <c r="L8" s="736"/>
    </row>
    <row r="9" spans="1:16">
      <c r="B9" s="19"/>
      <c r="C9" s="19"/>
      <c r="D9" s="19"/>
      <c r="E9" s="19"/>
      <c r="F9" s="19"/>
      <c r="G9" s="19"/>
      <c r="H9" s="19"/>
    </row>
    <row r="10" spans="1:16">
      <c r="A10" s="47"/>
      <c r="B10" s="19"/>
      <c r="C10" s="19"/>
      <c r="D10" s="801"/>
      <c r="E10" s="803"/>
      <c r="F10" s="803"/>
      <c r="G10" s="207"/>
      <c r="H10" s="19"/>
      <c r="N10" s="49"/>
      <c r="O10" s="49"/>
      <c r="P10" s="48"/>
    </row>
    <row r="11" spans="1:16">
      <c r="B11" s="19"/>
      <c r="C11" s="28"/>
      <c r="D11" s="801"/>
      <c r="E11" s="28"/>
      <c r="F11" s="28"/>
      <c r="G11" s="28"/>
      <c r="H11" s="28" t="s">
        <v>493</v>
      </c>
      <c r="N11" s="19"/>
      <c r="O11" s="19"/>
    </row>
    <row r="12" spans="1:16">
      <c r="B12" s="28"/>
      <c r="C12" s="79"/>
      <c r="D12" s="80"/>
      <c r="E12" s="80"/>
      <c r="F12" s="80"/>
      <c r="G12" s="80"/>
      <c r="H12" s="81"/>
    </row>
    <row r="13" spans="1:16">
      <c r="B13" s="28"/>
      <c r="C13" s="79"/>
      <c r="D13" s="80"/>
      <c r="E13" s="80"/>
      <c r="F13" s="80"/>
      <c r="G13" s="80"/>
      <c r="H13" s="81"/>
    </row>
    <row r="15" spans="1:16" ht="27.75" customHeight="1">
      <c r="B15" s="350" t="str">
        <f>+'Data Entry'!B85&amp;"                                                                                                  "&amp;+J3&amp;" "&amp;+L3</f>
        <v>M3: Contractual arrangements (SRs)                                                                                                   Report Period: P2</v>
      </c>
      <c r="H15" s="350" t="str">
        <f>+'Data Entry'!B90&amp;"                  "&amp;+J3&amp;" "&amp;+L3</f>
        <v>M4: Number of complete reports received on time, this reporting period                  Report Period: P2</v>
      </c>
    </row>
    <row r="16" spans="1:16">
      <c r="B16" s="329" t="s">
        <v>16</v>
      </c>
      <c r="C16" s="732"/>
      <c r="D16" s="735"/>
      <c r="E16" s="735"/>
      <c r="F16" s="736"/>
      <c r="G16" s="351"/>
      <c r="H16" s="328" t="s">
        <v>16</v>
      </c>
      <c r="I16" s="732"/>
      <c r="J16" s="733"/>
      <c r="K16" s="733"/>
      <c r="L16" s="734"/>
    </row>
    <row r="17" spans="2:13">
      <c r="B17" s="29"/>
      <c r="H17" s="30"/>
    </row>
    <row r="18" spans="2:13">
      <c r="M18" s="83"/>
    </row>
    <row r="26" spans="2:13">
      <c r="B26" s="350" t="str">
        <f>+'Data Entry'!B96</f>
        <v>M5: Budget and Procurement of health products, health equipment, medicines and pharmaceuticals</v>
      </c>
      <c r="H26" s="350" t="str">
        <f>+'Data Entry'!B109&amp;"                                                                "&amp;+J3&amp;"  "&amp;+L3</f>
        <v>M6: Difference between current and safety stock                                                                Report Period:  P2</v>
      </c>
    </row>
    <row r="27" spans="2:13" ht="60" customHeight="1">
      <c r="B27" s="327" t="s">
        <v>16</v>
      </c>
      <c r="C27" s="795" t="s">
        <v>521</v>
      </c>
      <c r="D27" s="735"/>
      <c r="E27" s="735"/>
      <c r="F27" s="736"/>
      <c r="G27" s="351"/>
      <c r="H27" s="328" t="s">
        <v>16</v>
      </c>
      <c r="I27" s="732"/>
      <c r="J27" s="733"/>
      <c r="K27" s="733"/>
      <c r="L27" s="734"/>
    </row>
    <row r="28" spans="2:13" ht="15.75" thickBot="1"/>
    <row r="29" spans="2:13" ht="44.25" customHeight="1">
      <c r="F29" s="312"/>
      <c r="G29" s="312"/>
      <c r="H29" s="219" t="s">
        <v>40</v>
      </c>
      <c r="I29" s="309" t="s">
        <v>86</v>
      </c>
      <c r="J29" s="325" t="s">
        <v>332</v>
      </c>
      <c r="K29" s="218" t="s">
        <v>327</v>
      </c>
      <c r="L29" s="310" t="s">
        <v>326</v>
      </c>
    </row>
    <row r="30" spans="2:13" ht="15" customHeight="1">
      <c r="F30" s="312"/>
      <c r="G30" s="312"/>
      <c r="H30" s="798" t="str">
        <f>+'Data Entry'!B112</f>
        <v>MALARIA</v>
      </c>
      <c r="I30" s="311" t="str">
        <f>+'Data Entry'!C112</f>
        <v>AS/MQ</v>
      </c>
      <c r="J30" s="313" t="str">
        <f>+'Data Entry'!I112</f>
        <v/>
      </c>
      <c r="K30" s="306">
        <f>+'Data Entry'!J112</f>
        <v>0</v>
      </c>
      <c r="L30" s="390" t="str">
        <f>+'Data Entry'!K112</f>
        <v/>
      </c>
    </row>
    <row r="31" spans="2:13">
      <c r="F31" s="312"/>
      <c r="G31" s="312"/>
      <c r="H31" s="799"/>
      <c r="I31" s="311" t="str">
        <f>+'Data Entry'!C113</f>
        <v>Al/Lum</v>
      </c>
      <c r="J31" s="313" t="str">
        <f>+'Data Entry'!I113</f>
        <v/>
      </c>
      <c r="K31" s="306">
        <f>+'Data Entry'!J113</f>
        <v>0</v>
      </c>
      <c r="L31" s="391" t="str">
        <f>+'Data Entry'!K113</f>
        <v/>
      </c>
    </row>
    <row r="32" spans="2:13">
      <c r="F32" s="312"/>
      <c r="G32" s="312"/>
      <c r="H32" s="799"/>
      <c r="I32" s="474">
        <f>+'Data Entry'!C114</f>
        <v>0</v>
      </c>
      <c r="J32" s="475" t="str">
        <f>+'Data Entry'!I114</f>
        <v/>
      </c>
      <c r="K32" s="476">
        <f>+'Data Entry'!J114</f>
        <v>0</v>
      </c>
      <c r="L32" s="480" t="str">
        <f>+'Data Entry'!K114</f>
        <v/>
      </c>
    </row>
    <row r="33" spans="2:12" ht="15.75" thickBot="1">
      <c r="F33" s="312"/>
      <c r="G33" s="312"/>
      <c r="H33" s="800"/>
      <c r="I33" s="477">
        <f>+'Data Entry'!C115</f>
        <v>0</v>
      </c>
      <c r="J33" s="478" t="str">
        <f>+'Data Entry'!I115</f>
        <v/>
      </c>
      <c r="K33" s="479">
        <f>+'Data Entry'!J115</f>
        <v>0</v>
      </c>
      <c r="L33" s="480" t="str">
        <f>+'Data Entry'!K115</f>
        <v/>
      </c>
    </row>
    <row r="34" spans="2:12" ht="24.75" customHeight="1">
      <c r="B34" s="794" t="str">
        <f>+'Data Entry'!B106</f>
        <v>* Includes only EFR category 4 and 5  (Health products and health equipment &amp; Medicines and Pharmaceuticals)</v>
      </c>
      <c r="C34" s="794"/>
      <c r="D34" s="794"/>
      <c r="E34" s="794"/>
      <c r="F34" s="19"/>
      <c r="G34" s="19"/>
      <c r="H34" s="215"/>
      <c r="I34" s="216"/>
      <c r="J34" s="217"/>
      <c r="K34" s="207"/>
      <c r="L34" s="20"/>
    </row>
    <row r="35" spans="2:12">
      <c r="F35" s="19"/>
      <c r="G35" s="19"/>
      <c r="H35" s="19"/>
      <c r="I35" s="19"/>
      <c r="J35" s="19"/>
      <c r="K35" s="19"/>
      <c r="L35" s="19"/>
    </row>
  </sheetData>
  <mergeCells count="19">
    <mergeCell ref="B2:L2"/>
    <mergeCell ref="C4:D4"/>
    <mergeCell ref="E3:I3"/>
    <mergeCell ref="J3:K3"/>
    <mergeCell ref="J4:K4"/>
    <mergeCell ref="B34:E34"/>
    <mergeCell ref="C27:F27"/>
    <mergeCell ref="C3:D3"/>
    <mergeCell ref="E4:I4"/>
    <mergeCell ref="H30:H33"/>
    <mergeCell ref="I8:L8"/>
    <mergeCell ref="D5:J5"/>
    <mergeCell ref="I16:L16"/>
    <mergeCell ref="I27:L27"/>
    <mergeCell ref="D10:D11"/>
    <mergeCell ref="E6:I6"/>
    <mergeCell ref="C16:F16"/>
    <mergeCell ref="E10:F10"/>
    <mergeCell ref="C8:F8"/>
  </mergeCells>
  <phoneticPr fontId="31" type="noConversion"/>
  <conditionalFormatting sqref="D12:D13">
    <cfRule type="cellIs" dxfId="17" priority="1" stopIfTrue="1" operator="greaterThan">
      <formula>0</formula>
    </cfRule>
  </conditionalFormatting>
  <conditionalFormatting sqref="E12:E13">
    <cfRule type="cellIs" dxfId="16" priority="2" stopIfTrue="1" operator="greaterThan">
      <formula>0</formula>
    </cfRule>
  </conditionalFormatting>
  <conditionalFormatting sqref="F12:G13">
    <cfRule type="cellIs" dxfId="15" priority="3" stopIfTrue="1" operator="greaterThan">
      <formula>0</formula>
    </cfRule>
  </conditionalFormatting>
  <conditionalFormatting sqref="C4:D4">
    <cfRule type="cellIs" dxfId="14" priority="4" stopIfTrue="1" operator="equal">
      <formula>"C"</formula>
    </cfRule>
    <cfRule type="cellIs" dxfId="13" priority="5" stopIfTrue="1" operator="equal">
      <formula>"B2"</formula>
    </cfRule>
    <cfRule type="cellIs" dxfId="12" priority="6" stopIfTrue="1" operator="equal">
      <formula>"B1"</formula>
    </cfRule>
  </conditionalFormatting>
  <conditionalFormatting sqref="L30 L32:L33">
    <cfRule type="cellIs" dxfId="11" priority="13" stopIfTrue="1" operator="lessThan">
      <formula>1</formula>
    </cfRule>
    <cfRule type="cellIs" dxfId="10" priority="14" stopIfTrue="1" operator="between">
      <formula>3</formula>
      <formula>17</formula>
    </cfRule>
    <cfRule type="cellIs" dxfId="9" priority="15" stopIfTrue="1" operator="between">
      <formula>1</formula>
      <formula>3</formula>
    </cfRule>
  </conditionalFormatting>
  <conditionalFormatting sqref="L31">
    <cfRule type="cellIs" dxfId="8" priority="16" stopIfTrue="1" operator="lessThan">
      <formula>1</formula>
    </cfRule>
    <cfRule type="cellIs" dxfId="7" priority="17" stopIfTrue="1" operator="between">
      <formula>3</formula>
      <formula>100</formula>
    </cfRule>
    <cfRule type="cellIs" dxfId="6"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headerFooter alignWithMargins="0">
    <oddFooter>&amp;L&amp;F&amp;C&amp;A&amp;RV1.0          &amp;D</oddFooter>
  </headerFooter>
  <colBreaks count="1" manualBreakCount="1">
    <brk id="12" max="33" man="1"/>
  </col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B1" zoomScaleNormal="90" zoomScalePageLayoutView="90" workbookViewId="0">
      <selection activeCell="G50" sqref="G50"/>
    </sheetView>
  </sheetViews>
  <sheetFormatPr defaultColWidth="8.8554687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8.85546875" style="31"/>
  </cols>
  <sheetData>
    <row r="1" spans="1:15" ht="38.25" customHeight="1">
      <c r="A1" s="151"/>
      <c r="B1" s="151"/>
      <c r="C1" s="151"/>
      <c r="D1" s="151"/>
      <c r="E1" s="151"/>
      <c r="F1" s="151"/>
      <c r="G1" s="151"/>
      <c r="H1" s="151"/>
      <c r="I1" s="151"/>
      <c r="J1" s="151"/>
      <c r="K1" s="152"/>
      <c r="L1" s="151"/>
      <c r="M1" s="151"/>
      <c r="N1" s="151"/>
    </row>
    <row r="2" spans="1:15" customFormat="1" ht="27.75" customHeight="1">
      <c r="A2" s="3"/>
      <c r="B2" s="789" t="str">
        <f>'Grant Detail'!B3:J3</f>
        <v>Dashboard:  Ghana - MALARIA  (AngloGold Asanti (Ghana) Malaria Ltd)</v>
      </c>
      <c r="C2" s="789"/>
      <c r="D2" s="789"/>
      <c r="E2" s="789"/>
      <c r="F2" s="789"/>
      <c r="G2" s="789"/>
      <c r="H2" s="789"/>
      <c r="I2" s="789"/>
      <c r="J2" s="789"/>
      <c r="K2" s="789"/>
      <c r="L2" s="789"/>
      <c r="M2" s="789"/>
      <c r="N2" s="789"/>
      <c r="O2" s="73"/>
    </row>
    <row r="3" spans="1:15" customFormat="1" ht="18.75">
      <c r="A3" s="3"/>
      <c r="B3" s="132" t="str">
        <f>+IF('Data Entry'!G8="Please Select","",'Data Entry'!G8)</f>
        <v>1</v>
      </c>
      <c r="C3" s="745" t="str">
        <f>+IF('Data Entry'!I8="Please Select","",'Data Entry'!I8)</f>
        <v>New Funding Model</v>
      </c>
      <c r="D3" s="745"/>
      <c r="E3" s="792"/>
      <c r="F3" s="792"/>
      <c r="G3" s="792"/>
      <c r="H3" s="792"/>
      <c r="I3" s="792"/>
      <c r="J3" s="792"/>
      <c r="K3" s="792"/>
      <c r="L3" s="132" t="str">
        <f>+'Data Entry'!B16</f>
        <v>Report Period:</v>
      </c>
      <c r="M3" s="199" t="str">
        <f>+'Data Entry'!C16</f>
        <v>P2</v>
      </c>
      <c r="N3" s="199"/>
      <c r="O3" s="31"/>
    </row>
    <row r="4" spans="1:15" customFormat="1" ht="15">
      <c r="A4" s="3"/>
      <c r="B4" s="132" t="str">
        <f>+'Data Entry'!B12</f>
        <v>Latest Rating:</v>
      </c>
      <c r="C4" s="793" t="str">
        <f>+IF('Data Entry'!C12="Please Select","",'Data Entry'!C12)</f>
        <v>A2</v>
      </c>
      <c r="D4" s="793"/>
      <c r="E4" s="744" t="str">
        <f>+'Data Entry'!C8</f>
        <v>AngloGold Asanti (Ghana) Malaria Ltd</v>
      </c>
      <c r="F4" s="744"/>
      <c r="G4" s="744"/>
      <c r="H4" s="744"/>
      <c r="I4" s="744"/>
      <c r="J4" s="744"/>
      <c r="K4" s="744"/>
      <c r="L4" s="132" t="str">
        <f>+'Data Entry'!D16</f>
        <v>From:</v>
      </c>
      <c r="M4" s="200">
        <f>+IF(ISBLANK('Data Entry'!E16),"",'Data Entry'!E16)</f>
        <v>42095</v>
      </c>
      <c r="N4" s="200"/>
      <c r="O4" s="31"/>
    </row>
    <row r="5" spans="1:15" customFormat="1" ht="18.75" customHeight="1">
      <c r="A5" s="3"/>
      <c r="B5" s="132"/>
      <c r="C5" s="132"/>
      <c r="D5" s="133"/>
      <c r="E5" s="744" t="str">
        <f>+'Data Entry'!G4</f>
        <v>Accelerating Access -- Home-Based Care &amp; Indoor Residual Spraying</v>
      </c>
      <c r="F5" s="744"/>
      <c r="G5" s="744"/>
      <c r="H5" s="744"/>
      <c r="I5" s="744"/>
      <c r="J5" s="744"/>
      <c r="K5" s="744"/>
      <c r="L5" s="132" t="str">
        <f>+'Data Entry'!F16</f>
        <v>To:</v>
      </c>
      <c r="M5" s="200">
        <f>+IF(ISBLANK('Data Entry'!G16),"",'Data Entry'!G16)</f>
        <v>42185</v>
      </c>
      <c r="N5" s="200"/>
    </row>
    <row r="6" spans="1:15" customFormat="1" ht="22.5" customHeight="1">
      <c r="A6" s="3"/>
      <c r="B6" s="137"/>
      <c r="C6" s="138"/>
      <c r="D6" s="139"/>
      <c r="E6" s="829" t="s">
        <v>316</v>
      </c>
      <c r="F6" s="829"/>
      <c r="G6" s="829"/>
      <c r="H6" s="829"/>
      <c r="I6" s="829"/>
      <c r="J6" s="829"/>
      <c r="K6" s="829"/>
      <c r="L6" s="2"/>
      <c r="M6" s="2"/>
      <c r="N6" s="2"/>
    </row>
    <row r="7" spans="1:15" s="33" customFormat="1" ht="4.5" customHeight="1">
      <c r="A7" s="153"/>
      <c r="B7" s="154"/>
      <c r="C7" s="154"/>
      <c r="D7" s="154"/>
      <c r="E7" s="154"/>
      <c r="F7" s="154"/>
      <c r="G7" s="154"/>
      <c r="H7" s="154"/>
      <c r="I7" s="154"/>
      <c r="J7" s="154"/>
      <c r="K7" s="154"/>
      <c r="L7" s="155"/>
      <c r="M7" s="155"/>
      <c r="N7" s="156"/>
    </row>
    <row r="8" spans="1:15" s="33" customFormat="1" ht="21" customHeight="1" thickBot="1">
      <c r="A8" s="153"/>
      <c r="B8" s="822" t="s">
        <v>105</v>
      </c>
      <c r="C8" s="822"/>
      <c r="D8" s="822"/>
      <c r="E8" s="822"/>
      <c r="F8" s="822"/>
      <c r="G8" s="822"/>
      <c r="H8" s="822"/>
      <c r="I8" s="822"/>
      <c r="J8" s="822"/>
      <c r="K8" s="822"/>
      <c r="L8" s="822"/>
      <c r="M8" s="822"/>
      <c r="N8" s="822"/>
    </row>
    <row r="9" spans="1:15" s="33" customFormat="1" ht="3.75" customHeight="1" thickBot="1">
      <c r="A9" s="153"/>
      <c r="B9" s="154"/>
      <c r="C9" s="154"/>
      <c r="D9" s="154"/>
      <c r="E9" s="154"/>
      <c r="F9" s="154"/>
      <c r="G9" s="154"/>
      <c r="H9" s="154"/>
      <c r="I9" s="154"/>
      <c r="J9" s="154"/>
      <c r="K9" s="154"/>
      <c r="L9" s="155"/>
      <c r="M9" s="155"/>
      <c r="N9" s="156"/>
    </row>
    <row r="10" spans="1:15" s="34" customFormat="1" ht="25.5" customHeight="1" thickBot="1">
      <c r="A10" s="157"/>
      <c r="B10" s="845" t="s">
        <v>100</v>
      </c>
      <c r="C10" s="840"/>
      <c r="D10" s="823" t="s">
        <v>104</v>
      </c>
      <c r="E10" s="824"/>
      <c r="F10" s="824"/>
      <c r="G10" s="825"/>
      <c r="H10" s="160"/>
      <c r="I10" s="823" t="s">
        <v>316</v>
      </c>
      <c r="J10" s="824"/>
      <c r="K10" s="824"/>
      <c r="L10" s="824"/>
      <c r="M10" s="824"/>
      <c r="N10" s="825"/>
    </row>
    <row r="11" spans="1:15" s="34" customFormat="1" ht="128.25" customHeight="1">
      <c r="A11" s="157"/>
      <c r="B11" s="395" t="s">
        <v>108</v>
      </c>
      <c r="C11" s="177"/>
      <c r="D11" s="832" t="str">
        <f>IF(ISBLANK(Finance!C9),"",(Finance!C9))</f>
        <v xml:space="preserve">During the period under review, AGAMAL received $6.7m disbursement from the Global Fund which covers the budget for 2015 operations.
</v>
      </c>
      <c r="E11" s="832"/>
      <c r="F11" s="832"/>
      <c r="G11" s="833"/>
      <c r="H11" s="183"/>
      <c r="I11" s="837"/>
      <c r="J11" s="838"/>
      <c r="K11" s="838"/>
      <c r="L11" s="838"/>
      <c r="M11" s="838"/>
      <c r="N11" s="839"/>
    </row>
    <row r="12" spans="1:15" s="34" customFormat="1" ht="215.25" customHeight="1">
      <c r="A12" s="157"/>
      <c r="B12" s="396" t="s">
        <v>109</v>
      </c>
      <c r="C12" s="178"/>
      <c r="D12" s="832" t="str">
        <f>IF(ISBLANK(Finance!C23),"",(Finance!C23))</f>
        <v xml:space="preserve">Generally, there is a positive variance in all the cost categories except Health Products &amp; Equipment. The negative variance on Health Products &amp; Equipment is as a result of insecticides procured and paid for which includes quantities meant to be used for 2016 operations rolled over from previous period. </v>
      </c>
      <c r="E12" s="832"/>
      <c r="F12" s="832"/>
      <c r="G12" s="833"/>
      <c r="H12" s="183"/>
      <c r="I12" s="834"/>
      <c r="J12" s="835"/>
      <c r="K12" s="835"/>
      <c r="L12" s="835"/>
      <c r="M12" s="835"/>
      <c r="N12" s="836"/>
    </row>
    <row r="13" spans="1:15" s="34" customFormat="1" ht="43.5" customHeight="1">
      <c r="A13" s="157"/>
      <c r="B13" s="396" t="s">
        <v>110</v>
      </c>
      <c r="C13" s="178"/>
      <c r="D13" s="832" t="str">
        <f>IF(ISBLANK(Finance!I9),"",(Finance!I9))</f>
        <v>During the period under review, AGAMAL received $6.7m as disbursement from the Global Fund against a total expenditure of  $6.9m mainly due to $5.1m payments made for insecticides received prior to reporting period.The excess of expenditure over disbursement received was funded by closing cash balance from previous period.</v>
      </c>
      <c r="E13" s="832"/>
      <c r="F13" s="832"/>
      <c r="G13" s="833"/>
      <c r="H13" s="183"/>
      <c r="I13" s="834"/>
      <c r="J13" s="835"/>
      <c r="K13" s="835"/>
      <c r="L13" s="835"/>
      <c r="M13" s="835"/>
      <c r="N13" s="836"/>
    </row>
    <row r="14" spans="1:15" s="34" customFormat="1" ht="43.5" customHeight="1" thickBot="1">
      <c r="A14" s="157"/>
      <c r="B14" s="397" t="s">
        <v>111</v>
      </c>
      <c r="C14" s="179"/>
      <c r="D14" s="852" t="str">
        <f>IF(ISBLANK(Finance!I23),"",(Finance!I23))</f>
        <v/>
      </c>
      <c r="E14" s="852"/>
      <c r="F14" s="852"/>
      <c r="G14" s="853"/>
      <c r="H14" s="183"/>
      <c r="I14" s="842"/>
      <c r="J14" s="843"/>
      <c r="K14" s="843"/>
      <c r="L14" s="843"/>
      <c r="M14" s="843"/>
      <c r="N14" s="844"/>
    </row>
    <row r="15" spans="1:15" s="34" customFormat="1" ht="4.5" customHeight="1">
      <c r="A15" s="157"/>
      <c r="B15" s="180"/>
      <c r="C15" s="181"/>
      <c r="D15" s="182"/>
      <c r="E15" s="182"/>
      <c r="F15" s="182"/>
      <c r="G15" s="182"/>
      <c r="H15" s="183"/>
      <c r="I15" s="184"/>
      <c r="J15" s="184"/>
      <c r="K15" s="184"/>
      <c r="L15" s="184"/>
      <c r="M15" s="184"/>
      <c r="N15" s="184"/>
      <c r="O15" s="75"/>
    </row>
    <row r="16" spans="1:15" s="33" customFormat="1" ht="21" customHeight="1" thickBot="1">
      <c r="A16" s="153"/>
      <c r="B16" s="822" t="s">
        <v>107</v>
      </c>
      <c r="C16" s="822"/>
      <c r="D16" s="822"/>
      <c r="E16" s="822"/>
      <c r="F16" s="822"/>
      <c r="G16" s="822"/>
      <c r="H16" s="822"/>
      <c r="I16" s="822"/>
      <c r="J16" s="822"/>
      <c r="K16" s="822"/>
      <c r="L16" s="822"/>
      <c r="M16" s="822"/>
      <c r="N16" s="822"/>
    </row>
    <row r="17" spans="1:15" s="34" customFormat="1" ht="3.75" customHeight="1" thickBot="1">
      <c r="A17" s="157"/>
      <c r="B17" s="166"/>
      <c r="C17" s="167"/>
      <c r="D17" s="168"/>
      <c r="E17" s="169"/>
      <c r="F17" s="170"/>
      <c r="G17" s="170"/>
      <c r="H17" s="171"/>
      <c r="I17" s="172"/>
      <c r="J17" s="173"/>
      <c r="K17" s="162"/>
      <c r="L17" s="163"/>
      <c r="M17" s="164"/>
      <c r="N17" s="165"/>
    </row>
    <row r="18" spans="1:15" s="34" customFormat="1" ht="22.5" customHeight="1" thickBot="1">
      <c r="A18" s="157"/>
      <c r="B18" s="840" t="s">
        <v>101</v>
      </c>
      <c r="C18" s="841"/>
      <c r="D18" s="849" t="s">
        <v>104</v>
      </c>
      <c r="E18" s="850"/>
      <c r="F18" s="850"/>
      <c r="G18" s="851"/>
      <c r="H18" s="160"/>
      <c r="I18" s="846" t="s">
        <v>316</v>
      </c>
      <c r="J18" s="847"/>
      <c r="K18" s="847"/>
      <c r="L18" s="847"/>
      <c r="M18" s="848"/>
      <c r="N18" s="848"/>
    </row>
    <row r="19" spans="1:15" s="34" customFormat="1" ht="21.95" customHeight="1">
      <c r="A19" s="157"/>
      <c r="B19" s="398" t="s">
        <v>116</v>
      </c>
      <c r="C19" s="185"/>
      <c r="D19" s="830" t="str">
        <f>IF(ISBLANK(Management!C8),"",(Management!C8))</f>
        <v>All 5 condition precedents as of reporting period have been met.</v>
      </c>
      <c r="E19" s="830"/>
      <c r="F19" s="830"/>
      <c r="G19" s="831"/>
      <c r="H19" s="186"/>
      <c r="I19" s="826"/>
      <c r="J19" s="827"/>
      <c r="K19" s="827"/>
      <c r="L19" s="827"/>
      <c r="M19" s="827"/>
      <c r="N19" s="828"/>
    </row>
    <row r="20" spans="1:15" ht="24.75" customHeight="1">
      <c r="A20" s="151"/>
      <c r="B20" s="399" t="s">
        <v>117</v>
      </c>
      <c r="C20" s="187"/>
      <c r="D20" s="832" t="str">
        <f>IF(ISBLANK(Management!I8),"",(Management!I8))</f>
        <v>All key management positions have been duly filled.</v>
      </c>
      <c r="E20" s="832" t="e">
        <f>+'Data Entry'!D77/'Data Entry'!G77</f>
        <v>#DIV/0!</v>
      </c>
      <c r="F20" s="832" t="e">
        <f>+('Data Entry'!E77+'Data Entry'!F77)/'Data Entry'!G77</f>
        <v>#DIV/0!</v>
      </c>
      <c r="G20" s="858"/>
      <c r="H20" s="186"/>
      <c r="I20" s="854"/>
      <c r="J20" s="855"/>
      <c r="K20" s="855"/>
      <c r="L20" s="855"/>
      <c r="M20" s="855"/>
      <c r="N20" s="856"/>
      <c r="O20" s="35"/>
    </row>
    <row r="21" spans="1:15" ht="29.25" customHeight="1">
      <c r="A21" s="151"/>
      <c r="B21" s="400" t="s">
        <v>118</v>
      </c>
      <c r="C21" s="187"/>
      <c r="D21" s="832" t="str">
        <f>IF(ISBLANK(Management!C16),"",(Management!C16))</f>
        <v/>
      </c>
      <c r="E21" s="832"/>
      <c r="F21" s="832"/>
      <c r="G21" s="858"/>
      <c r="H21" s="186"/>
      <c r="I21" s="854"/>
      <c r="J21" s="855"/>
      <c r="K21" s="855"/>
      <c r="L21" s="855"/>
      <c r="M21" s="855"/>
      <c r="N21" s="856"/>
      <c r="O21" s="35"/>
    </row>
    <row r="22" spans="1:15" ht="26.25" customHeight="1">
      <c r="A22" s="151"/>
      <c r="B22" s="400" t="s">
        <v>119</v>
      </c>
      <c r="C22" s="187"/>
      <c r="D22" s="832" t="str">
        <f>IF(ISBLANK(Management!I16),"",(Management!I16))</f>
        <v/>
      </c>
      <c r="E22" s="832"/>
      <c r="F22" s="832"/>
      <c r="G22" s="858"/>
      <c r="H22" s="186"/>
      <c r="I22" s="854"/>
      <c r="J22" s="855"/>
      <c r="K22" s="855"/>
      <c r="L22" s="855"/>
      <c r="M22" s="855"/>
      <c r="N22" s="856"/>
      <c r="O22" s="35"/>
    </row>
    <row r="23" spans="1:15" ht="63" customHeight="1">
      <c r="A23" s="151"/>
      <c r="B23" s="400" t="s">
        <v>120</v>
      </c>
      <c r="C23" s="187"/>
      <c r="D23" s="832" t="str">
        <f>IF(ISBLANK(Management!C27),"",(Management!C27))</f>
        <v>Out of a budget of $60,212.00  $5,120,477.00 was spent on health products and equipment. The deficit is as a result of a roll over cost prior to 2014. Its associated budget in 2013 was not fully utilised because of delays in procuring them due to Global Fund's request for Quality Assurance Testing.</v>
      </c>
      <c r="E23" s="832"/>
      <c r="F23" s="832"/>
      <c r="G23" s="858"/>
      <c r="H23" s="186"/>
      <c r="I23" s="854"/>
      <c r="J23" s="855"/>
      <c r="K23" s="855"/>
      <c r="L23" s="855"/>
      <c r="M23" s="855"/>
      <c r="N23" s="856"/>
      <c r="O23" s="35"/>
    </row>
    <row r="24" spans="1:15" ht="27" customHeight="1" thickBot="1">
      <c r="A24" s="151"/>
      <c r="B24" s="401" t="s">
        <v>121</v>
      </c>
      <c r="C24" s="188"/>
      <c r="D24" s="859" t="str">
        <f>IF(ISBLANK(Management!I27),"",(Management!I27))</f>
        <v/>
      </c>
      <c r="E24" s="859"/>
      <c r="F24" s="859"/>
      <c r="G24" s="860"/>
      <c r="H24" s="186"/>
      <c r="I24" s="864"/>
      <c r="J24" s="865"/>
      <c r="K24" s="865"/>
      <c r="L24" s="865"/>
      <c r="M24" s="865"/>
      <c r="N24" s="866"/>
      <c r="O24" s="35"/>
    </row>
    <row r="25" spans="1:15" ht="4.5" customHeight="1">
      <c r="A25" s="153"/>
      <c r="B25" s="158"/>
      <c r="C25" s="159"/>
      <c r="D25" s="174"/>
      <c r="E25" s="175"/>
      <c r="F25" s="176"/>
      <c r="G25" s="176"/>
      <c r="H25" s="160"/>
      <c r="I25" s="175"/>
      <c r="J25" s="161"/>
      <c r="K25" s="162"/>
      <c r="L25" s="163"/>
      <c r="M25" s="164"/>
      <c r="N25" s="165"/>
      <c r="O25" s="35"/>
    </row>
    <row r="26" spans="1:15" s="33" customFormat="1" ht="21" customHeight="1" thickBot="1">
      <c r="A26" s="153"/>
      <c r="B26" s="822" t="s">
        <v>106</v>
      </c>
      <c r="C26" s="822"/>
      <c r="D26" s="822"/>
      <c r="E26" s="822"/>
      <c r="F26" s="822"/>
      <c r="G26" s="822"/>
      <c r="H26" s="822"/>
      <c r="I26" s="822"/>
      <c r="J26" s="822"/>
      <c r="K26" s="822"/>
      <c r="L26" s="822"/>
      <c r="M26" s="822"/>
      <c r="N26" s="822"/>
    </row>
    <row r="27" spans="1:15" ht="3.75" customHeight="1" thickBot="1">
      <c r="A27" s="153"/>
      <c r="B27" s="158"/>
      <c r="C27" s="159"/>
      <c r="D27" s="174"/>
      <c r="E27" s="175"/>
      <c r="F27" s="176"/>
      <c r="G27" s="176"/>
      <c r="H27" s="160"/>
      <c r="I27" s="175"/>
      <c r="J27" s="161"/>
      <c r="K27" s="162"/>
      <c r="L27" s="163"/>
      <c r="M27" s="164"/>
      <c r="N27" s="165"/>
      <c r="O27" s="35"/>
    </row>
    <row r="28" spans="1:15" ht="21.75" customHeight="1" thickBot="1">
      <c r="A28" s="151"/>
      <c r="B28" s="845" t="s">
        <v>14</v>
      </c>
      <c r="C28" s="841"/>
      <c r="D28" s="810" t="s">
        <v>104</v>
      </c>
      <c r="E28" s="811"/>
      <c r="F28" s="811"/>
      <c r="G28" s="812"/>
      <c r="H28" s="160"/>
      <c r="I28" s="810" t="s">
        <v>316</v>
      </c>
      <c r="J28" s="811"/>
      <c r="K28" s="811"/>
      <c r="L28" s="811"/>
      <c r="M28" s="811"/>
      <c r="N28" s="812"/>
      <c r="O28" s="35"/>
    </row>
    <row r="29" spans="1:15" ht="57" customHeight="1">
      <c r="A29" s="151"/>
      <c r="B29" s="402" t="s">
        <v>435</v>
      </c>
      <c r="C29" s="189"/>
      <c r="D29" s="813" t="str">
        <f>IF(ISBLANK(Programmatic!C9),"",(Programmatic!C9))</f>
        <v>The intended target for the period was 871,071 out of 967,857. The denominator is the derived figure for 2015 based a geometric calculation from the 2010 population and housing census. The actual population covered was 771,553.</v>
      </c>
      <c r="E29" s="814"/>
      <c r="F29" s="814"/>
      <c r="G29" s="815"/>
      <c r="H29" s="186"/>
      <c r="I29" s="861"/>
      <c r="J29" s="862"/>
      <c r="K29" s="862"/>
      <c r="L29" s="862"/>
      <c r="M29" s="862"/>
      <c r="N29" s="863"/>
      <c r="O29" s="35"/>
    </row>
    <row r="30" spans="1:15" ht="102.75" customHeight="1">
      <c r="A30" s="151"/>
      <c r="B30" s="403" t="s">
        <v>436</v>
      </c>
      <c r="C30" s="190"/>
      <c r="D30" s="857" t="str">
        <f>IF(ISBLANK(Programmatic!G9),"",(Programmatic!G9))</f>
        <v>The target household figure to be reached was 141,960 and this is also a geometric calculated figure based on the 2010 pupolationa dn housing census figure. These was worked out using district specific household figure for the two operational areas.</v>
      </c>
      <c r="E30" s="808"/>
      <c r="F30" s="808"/>
      <c r="G30" s="809"/>
      <c r="H30" s="186"/>
      <c r="I30" s="816"/>
      <c r="J30" s="817"/>
      <c r="K30" s="817"/>
      <c r="L30" s="817"/>
      <c r="M30" s="817"/>
      <c r="N30" s="818"/>
      <c r="O30" s="35"/>
    </row>
    <row r="31" spans="1:15" ht="42" customHeight="1">
      <c r="A31" s="151"/>
      <c r="B31" s="403" t="s">
        <v>437</v>
      </c>
      <c r="C31" s="190"/>
      <c r="D31" s="857" t="str">
        <f>IF(ISBLANK(Programmatic!M9),"",(Programmatic!M9))</f>
        <v/>
      </c>
      <c r="E31" s="808"/>
      <c r="F31" s="808"/>
      <c r="G31" s="809"/>
      <c r="H31" s="186"/>
      <c r="I31" s="816"/>
      <c r="J31" s="817"/>
      <c r="K31" s="817"/>
      <c r="L31" s="817"/>
      <c r="M31" s="817"/>
      <c r="N31" s="818"/>
      <c r="O31" s="35"/>
    </row>
    <row r="32" spans="1:15" ht="85.5" customHeight="1">
      <c r="A32" s="151"/>
      <c r="B32" s="404" t="s">
        <v>438</v>
      </c>
      <c r="C32" s="190"/>
      <c r="D32" s="807" t="str">
        <f>IF(ISBLANK(Programmatic!L20),"",(Programmatic!L20))</f>
        <v>The population covered for the period under review was generated from the population living within the sprayed structures during the last spray season and this was 771,553. Households that refused to have their houses sprayed/ or were not present at the time of spray were not recorded.</v>
      </c>
      <c r="E32" s="808"/>
      <c r="F32" s="808"/>
      <c r="G32" s="809"/>
      <c r="H32" s="186"/>
      <c r="I32" s="816"/>
      <c r="J32" s="817"/>
      <c r="K32" s="817"/>
      <c r="L32" s="817"/>
      <c r="M32" s="817"/>
      <c r="N32" s="818"/>
      <c r="O32" s="35"/>
    </row>
    <row r="33" spans="1:15" ht="103.5" customHeight="1">
      <c r="A33" s="151"/>
      <c r="B33" s="404" t="s">
        <v>439</v>
      </c>
      <c r="C33" s="190"/>
      <c r="D33" s="807" t="str">
        <f>IF(ISBLANK(Programmatic!L21),"",(Programmatic!L21))</f>
        <v>The household figure is as a result of the target population covered for the period not having been reached since the household figures are calculated are based on these.</v>
      </c>
      <c r="E33" s="808"/>
      <c r="F33" s="808"/>
      <c r="G33" s="809"/>
      <c r="H33" s="186"/>
      <c r="I33" s="816"/>
      <c r="J33" s="817"/>
      <c r="K33" s="817"/>
      <c r="L33" s="817"/>
      <c r="M33" s="817"/>
      <c r="N33" s="818"/>
      <c r="O33" s="35"/>
    </row>
    <row r="34" spans="1:15" ht="27.75" customHeight="1">
      <c r="A34" s="151"/>
      <c r="B34" s="404" t="s">
        <v>440</v>
      </c>
      <c r="C34" s="190"/>
      <c r="D34" s="807" t="str">
        <f>IF(ISBLANK(Programmatic!L22),"",(Programmatic!L22))</f>
        <v/>
      </c>
      <c r="E34" s="808"/>
      <c r="F34" s="808"/>
      <c r="G34" s="809"/>
      <c r="H34" s="186"/>
      <c r="I34" s="816"/>
      <c r="J34" s="817"/>
      <c r="K34" s="817"/>
      <c r="L34" s="817"/>
      <c r="M34" s="817"/>
      <c r="N34" s="818"/>
      <c r="O34" s="35"/>
    </row>
    <row r="35" spans="1:15" ht="21.95" customHeight="1">
      <c r="A35" s="151"/>
      <c r="B35" s="404" t="s">
        <v>441</v>
      </c>
      <c r="C35" s="232"/>
      <c r="D35" s="807" t="str">
        <f>IF(ISBLANK(Programmatic!L23),"",(Programmatic!L23))</f>
        <v/>
      </c>
      <c r="E35" s="808"/>
      <c r="F35" s="808"/>
      <c r="G35" s="809"/>
      <c r="H35" s="186"/>
      <c r="I35" s="816"/>
      <c r="J35" s="817"/>
      <c r="K35" s="817"/>
      <c r="L35" s="817"/>
      <c r="M35" s="817"/>
      <c r="N35" s="818"/>
      <c r="O35" s="35"/>
    </row>
    <row r="36" spans="1:15" ht="21.95" customHeight="1">
      <c r="A36" s="151"/>
      <c r="B36" s="404" t="s">
        <v>442</v>
      </c>
      <c r="C36" s="232"/>
      <c r="D36" s="807" t="str">
        <f>IF(ISBLANK(Programmatic!L24),"",(Programmatic!L24))</f>
        <v/>
      </c>
      <c r="E36" s="808"/>
      <c r="F36" s="808"/>
      <c r="G36" s="809"/>
      <c r="H36" s="186"/>
      <c r="I36" s="816"/>
      <c r="J36" s="817"/>
      <c r="K36" s="817"/>
      <c r="L36" s="817"/>
      <c r="M36" s="817"/>
      <c r="N36" s="818"/>
      <c r="O36" s="35"/>
    </row>
    <row r="37" spans="1:15" ht="64.5" customHeight="1">
      <c r="A37" s="151"/>
      <c r="B37" s="404" t="s">
        <v>443</v>
      </c>
      <c r="C37" s="232"/>
      <c r="D37" s="807" t="str">
        <f>IF(ISBLANK(Programmatic!L25),"",(Programmatic!L25))</f>
        <v/>
      </c>
      <c r="E37" s="808"/>
      <c r="F37" s="808"/>
      <c r="G37" s="809"/>
      <c r="H37" s="186"/>
      <c r="I37" s="816"/>
      <c r="J37" s="817"/>
      <c r="K37" s="817"/>
      <c r="L37" s="817"/>
      <c r="M37" s="817"/>
      <c r="N37" s="818"/>
      <c r="O37" s="35"/>
    </row>
    <row r="38" spans="1:15" ht="21.95" customHeight="1">
      <c r="A38" s="151"/>
      <c r="B38" s="404" t="s">
        <v>444</v>
      </c>
      <c r="C38" s="232"/>
      <c r="D38" s="807" t="str">
        <f>IF(ISBLANK(Programmatic!L26),"",(Programmatic!L26))</f>
        <v/>
      </c>
      <c r="E38" s="808"/>
      <c r="F38" s="808"/>
      <c r="G38" s="809"/>
      <c r="H38" s="186"/>
      <c r="I38" s="816"/>
      <c r="J38" s="817"/>
      <c r="K38" s="817"/>
      <c r="L38" s="817"/>
      <c r="M38" s="817"/>
      <c r="N38" s="818"/>
      <c r="O38" s="35"/>
    </row>
    <row r="39" spans="1:15" ht="21.95" customHeight="1">
      <c r="A39" s="151"/>
      <c r="B39" s="404" t="s">
        <v>445</v>
      </c>
      <c r="C39" s="232"/>
      <c r="D39" s="807" t="str">
        <f>IF(ISBLANK(Programmatic!L27),"",(Programmatic!L27))</f>
        <v/>
      </c>
      <c r="E39" s="808"/>
      <c r="F39" s="808"/>
      <c r="G39" s="809"/>
      <c r="H39" s="186"/>
      <c r="I39" s="816"/>
      <c r="J39" s="817"/>
      <c r="K39" s="817"/>
      <c r="L39" s="817"/>
      <c r="M39" s="817"/>
      <c r="N39" s="818"/>
      <c r="O39" s="35"/>
    </row>
    <row r="40" spans="1:15" ht="21.95" customHeight="1">
      <c r="A40" s="151"/>
      <c r="B40" s="404" t="s">
        <v>446</v>
      </c>
      <c r="C40" s="232"/>
      <c r="D40" s="807" t="str">
        <f>IF(ISBLANK(Programmatic!L28),"",(Programmatic!L28))</f>
        <v/>
      </c>
      <c r="E40" s="808"/>
      <c r="F40" s="808"/>
      <c r="G40" s="809"/>
      <c r="H40" s="186"/>
      <c r="I40" s="816"/>
      <c r="J40" s="817"/>
      <c r="K40" s="817"/>
      <c r="L40" s="817"/>
      <c r="M40" s="817"/>
      <c r="N40" s="818"/>
      <c r="O40" s="35"/>
    </row>
    <row r="41" spans="1:15" ht="21.95" customHeight="1" thickBot="1">
      <c r="A41" s="151"/>
      <c r="B41" s="404" t="s">
        <v>447</v>
      </c>
      <c r="C41" s="191"/>
      <c r="D41" s="807" t="str">
        <f>IF(ISBLANK(Programmatic!L29),"",(Programmatic!L29))</f>
        <v/>
      </c>
      <c r="E41" s="808"/>
      <c r="F41" s="808"/>
      <c r="G41" s="809"/>
      <c r="H41" s="186"/>
      <c r="I41" s="819"/>
      <c r="J41" s="820"/>
      <c r="K41" s="820"/>
      <c r="L41" s="820"/>
      <c r="M41" s="820"/>
      <c r="N41" s="821"/>
      <c r="O41" s="35"/>
    </row>
    <row r="42" spans="1:15" ht="14.25">
      <c r="A42" s="151"/>
      <c r="B42" s="192"/>
      <c r="C42" s="192"/>
      <c r="D42" s="193"/>
      <c r="E42" s="151"/>
      <c r="F42" s="192"/>
      <c r="G42" s="192"/>
      <c r="H42" s="151"/>
      <c r="I42" s="194"/>
      <c r="J42" s="151"/>
      <c r="K42" s="195"/>
      <c r="L42" s="195"/>
      <c r="M42" s="195"/>
      <c r="N42" s="195"/>
      <c r="O42" s="35"/>
    </row>
  </sheetData>
  <sheetProtection password="CFC9" sheet="1" objects="1" scenarios="1"/>
  <mergeCells count="65">
    <mergeCell ref="I36:N36"/>
    <mergeCell ref="I37:N37"/>
    <mergeCell ref="I38:N38"/>
    <mergeCell ref="I39:N39"/>
    <mergeCell ref="I24:N24"/>
    <mergeCell ref="I33:N33"/>
    <mergeCell ref="I30:N30"/>
    <mergeCell ref="I34:N34"/>
    <mergeCell ref="I20:N20"/>
    <mergeCell ref="B26:N26"/>
    <mergeCell ref="D36:G36"/>
    <mergeCell ref="D30:G30"/>
    <mergeCell ref="D31:G31"/>
    <mergeCell ref="I21:N21"/>
    <mergeCell ref="D20:G20"/>
    <mergeCell ref="B28:C28"/>
    <mergeCell ref="D22:G22"/>
    <mergeCell ref="D23:G23"/>
    <mergeCell ref="I22:N22"/>
    <mergeCell ref="I23:N23"/>
    <mergeCell ref="D21:G21"/>
    <mergeCell ref="D24:G24"/>
    <mergeCell ref="D33:G33"/>
    <mergeCell ref="I29:N29"/>
    <mergeCell ref="B18:C18"/>
    <mergeCell ref="I13:N13"/>
    <mergeCell ref="I14:N14"/>
    <mergeCell ref="B10:C10"/>
    <mergeCell ref="D10:G10"/>
    <mergeCell ref="I18:N18"/>
    <mergeCell ref="D18:G18"/>
    <mergeCell ref="B16:N16"/>
    <mergeCell ref="D14:G14"/>
    <mergeCell ref="B8:N8"/>
    <mergeCell ref="I10:N10"/>
    <mergeCell ref="I19:N19"/>
    <mergeCell ref="B2:N2"/>
    <mergeCell ref="E5:K5"/>
    <mergeCell ref="E6:K6"/>
    <mergeCell ref="E3:K3"/>
    <mergeCell ref="C4:D4"/>
    <mergeCell ref="E4:K4"/>
    <mergeCell ref="C3:D3"/>
    <mergeCell ref="D19:G19"/>
    <mergeCell ref="D11:G11"/>
    <mergeCell ref="D13:G13"/>
    <mergeCell ref="I12:N12"/>
    <mergeCell ref="D12:G12"/>
    <mergeCell ref="I11:N11"/>
    <mergeCell ref="D41:G41"/>
    <mergeCell ref="I28:N28"/>
    <mergeCell ref="D40:G40"/>
    <mergeCell ref="D34:G34"/>
    <mergeCell ref="D29:G29"/>
    <mergeCell ref="D28:G28"/>
    <mergeCell ref="I31:N31"/>
    <mergeCell ref="I40:N40"/>
    <mergeCell ref="I41:N41"/>
    <mergeCell ref="I35:N35"/>
    <mergeCell ref="D35:G35"/>
    <mergeCell ref="D32:G32"/>
    <mergeCell ref="D39:G39"/>
    <mergeCell ref="D38:G38"/>
    <mergeCell ref="D37:G37"/>
    <mergeCell ref="I32:N32"/>
  </mergeCells>
  <phoneticPr fontId="31"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Normal="110" zoomScaleSheetLayoutView="100" zoomScalePageLayoutView="110" workbookViewId="0">
      <selection activeCell="B32" sqref="B32:E3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804" t="str">
        <f>'Grant Detail'!B3:J3</f>
        <v>Dashboard:  Ghana - MALARIA  (AngloGold Asanti (Ghana) Malaria Ltd)</v>
      </c>
      <c r="C2" s="804"/>
      <c r="D2" s="804"/>
      <c r="E2" s="804"/>
      <c r="F2" s="804"/>
      <c r="G2" s="804"/>
      <c r="H2" s="804"/>
      <c r="I2" s="804"/>
      <c r="J2" s="804"/>
      <c r="K2" s="804"/>
      <c r="L2" s="804"/>
    </row>
    <row r="3" spans="1:13">
      <c r="B3" s="24" t="str">
        <f>+IF('Data Entry'!G8="Please Select","",'Data Entry'!G8)</f>
        <v>1</v>
      </c>
      <c r="C3" s="796" t="str">
        <f>+IF('Data Entry'!I8="Please Select","",'Data Entry'!I8)</f>
        <v>New Funding Model</v>
      </c>
      <c r="D3" s="796"/>
      <c r="E3" s="797"/>
      <c r="F3" s="797"/>
      <c r="G3" s="797"/>
      <c r="H3" s="797"/>
      <c r="I3" s="797"/>
      <c r="J3" s="805" t="str">
        <f>+'Data Entry'!B16</f>
        <v>Report Period:</v>
      </c>
      <c r="K3" s="805"/>
      <c r="L3" s="199" t="str">
        <f>+'Data Entry'!C16</f>
        <v>P2</v>
      </c>
      <c r="M3" s="85"/>
    </row>
    <row r="4" spans="1:13">
      <c r="B4" s="24" t="str">
        <f>+'Data Entry'!B12</f>
        <v>Latest Rating:</v>
      </c>
      <c r="C4" s="887" t="str">
        <f>+IF('Data Entry'!C12="Please Select","",'Data Entry'!C12)</f>
        <v>A2</v>
      </c>
      <c r="D4" s="887"/>
      <c r="E4" s="797" t="str">
        <f>+'Data Entry'!C8</f>
        <v>AngloGold Asanti (Ghana) Malaria Ltd</v>
      </c>
      <c r="F4" s="797"/>
      <c r="G4" s="797"/>
      <c r="H4" s="797"/>
      <c r="I4" s="797"/>
      <c r="J4" s="805" t="str">
        <f>+'Data Entry'!D16</f>
        <v>From:</v>
      </c>
      <c r="K4" s="806"/>
      <c r="L4" s="200">
        <f>+IF(ISBLANK('Data Entry'!E16),"",'Data Entry'!E16)</f>
        <v>42095</v>
      </c>
    </row>
    <row r="5" spans="1:13" ht="18.75" customHeight="1">
      <c r="B5" s="24"/>
      <c r="C5" s="24"/>
      <c r="D5" s="797" t="str">
        <f>+'Data Entry'!G4</f>
        <v>Accelerating Access -- Home-Based Care &amp; Indoor Residual Spraying</v>
      </c>
      <c r="E5" s="797"/>
      <c r="F5" s="797"/>
      <c r="G5" s="797"/>
      <c r="H5" s="797"/>
      <c r="I5" s="797"/>
      <c r="J5" s="797"/>
      <c r="K5" s="24" t="str">
        <f>+'Data Entry'!F16</f>
        <v>To:</v>
      </c>
      <c r="L5" s="200">
        <f>+IF(ISBLANK('Data Entry'!G16),"",'Data Entry'!G16)</f>
        <v>42185</v>
      </c>
    </row>
    <row r="6" spans="1:13" ht="18.75">
      <c r="B6" s="23"/>
      <c r="C6" s="24"/>
      <c r="D6" s="25"/>
      <c r="E6" s="802" t="s">
        <v>354</v>
      </c>
      <c r="F6" s="802"/>
      <c r="G6" s="802"/>
      <c r="H6" s="802"/>
      <c r="I6" s="802"/>
    </row>
    <row r="7" spans="1:13" ht="18.75">
      <c r="E7" s="72"/>
      <c r="F7" s="72"/>
      <c r="G7" s="72"/>
      <c r="H7" s="72"/>
      <c r="I7" s="72"/>
    </row>
    <row r="8" spans="1:13" s="33" customFormat="1" ht="21" customHeight="1" thickBot="1">
      <c r="B8" s="76" t="s">
        <v>102</v>
      </c>
      <c r="C8" s="76"/>
      <c r="D8" s="76"/>
      <c r="E8" s="76"/>
      <c r="F8" s="76"/>
      <c r="G8" s="76"/>
      <c r="H8" s="76"/>
      <c r="I8" s="76"/>
      <c r="J8" s="76"/>
      <c r="K8" s="76"/>
      <c r="L8" s="76"/>
    </row>
    <row r="9" spans="1:13" ht="6" customHeight="1">
      <c r="B9" s="74"/>
    </row>
    <row r="10" spans="1:13">
      <c r="B10" s="890"/>
      <c r="C10" s="891"/>
      <c r="D10" s="891"/>
      <c r="E10" s="891"/>
      <c r="F10" s="891"/>
      <c r="G10" s="891"/>
      <c r="H10" s="891"/>
      <c r="I10" s="891"/>
      <c r="J10" s="891"/>
      <c r="K10" s="891"/>
      <c r="L10" s="892"/>
    </row>
    <row r="11" spans="1:13">
      <c r="B11" s="893"/>
      <c r="C11" s="894"/>
      <c r="D11" s="894"/>
      <c r="E11" s="894"/>
      <c r="F11" s="894"/>
      <c r="G11" s="894"/>
      <c r="H11" s="894"/>
      <c r="I11" s="894"/>
      <c r="J11" s="894"/>
      <c r="K11" s="894"/>
      <c r="L11" s="895"/>
    </row>
    <row r="12" spans="1:13" ht="15.75" thickBot="1"/>
    <row r="13" spans="1:13" ht="26.25" customHeight="1" thickBot="1">
      <c r="B13" s="896" t="s">
        <v>307</v>
      </c>
      <c r="C13" s="897"/>
      <c r="D13" s="897"/>
      <c r="E13" s="898"/>
      <c r="F13" s="77"/>
      <c r="G13" s="899" t="s">
        <v>134</v>
      </c>
      <c r="H13" s="869"/>
      <c r="I13" s="869"/>
      <c r="J13" s="78" t="s">
        <v>103</v>
      </c>
      <c r="K13" s="869" t="s">
        <v>296</v>
      </c>
      <c r="L13" s="870"/>
    </row>
    <row r="14" spans="1:13">
      <c r="A14" s="905" t="s">
        <v>308</v>
      </c>
      <c r="B14" s="879"/>
      <c r="C14" s="879"/>
      <c r="D14" s="879"/>
      <c r="E14" s="880"/>
      <c r="F14" s="46"/>
      <c r="G14" s="908"/>
      <c r="H14" s="888"/>
      <c r="I14" s="888"/>
      <c r="J14" s="888"/>
      <c r="K14" s="888"/>
      <c r="L14" s="889"/>
    </row>
    <row r="15" spans="1:13">
      <c r="A15" s="906"/>
      <c r="B15" s="879"/>
      <c r="C15" s="879"/>
      <c r="D15" s="879"/>
      <c r="E15" s="880"/>
      <c r="F15" s="46"/>
      <c r="G15" s="909"/>
      <c r="H15" s="875"/>
      <c r="I15" s="875"/>
      <c r="J15" s="875"/>
      <c r="K15" s="875"/>
      <c r="L15" s="876"/>
    </row>
    <row r="16" spans="1:13">
      <c r="A16" s="906"/>
      <c r="B16" s="879"/>
      <c r="C16" s="879"/>
      <c r="D16" s="879"/>
      <c r="E16" s="880"/>
      <c r="F16" s="46"/>
      <c r="G16" s="909"/>
      <c r="H16" s="875"/>
      <c r="I16" s="875"/>
      <c r="J16" s="875"/>
      <c r="K16" s="875"/>
      <c r="L16" s="876"/>
    </row>
    <row r="17" spans="1:12">
      <c r="A17" s="906"/>
      <c r="B17" s="879"/>
      <c r="C17" s="879"/>
      <c r="D17" s="879"/>
      <c r="E17" s="880"/>
      <c r="F17" s="46"/>
      <c r="G17" s="909"/>
      <c r="H17" s="875"/>
      <c r="I17" s="875"/>
      <c r="J17" s="875"/>
      <c r="K17" s="875"/>
      <c r="L17" s="876"/>
    </row>
    <row r="18" spans="1:12">
      <c r="A18" s="906"/>
      <c r="B18" s="879"/>
      <c r="C18" s="879"/>
      <c r="D18" s="879"/>
      <c r="E18" s="880"/>
      <c r="F18" s="46"/>
      <c r="G18" s="881"/>
      <c r="H18" s="882"/>
      <c r="I18" s="883"/>
      <c r="J18" s="875"/>
      <c r="K18" s="875"/>
      <c r="L18" s="876"/>
    </row>
    <row r="19" spans="1:12" ht="30.75" customHeight="1">
      <c r="A19" s="906"/>
      <c r="B19" s="879"/>
      <c r="C19" s="879"/>
      <c r="D19" s="879"/>
      <c r="E19" s="880"/>
      <c r="F19" s="46"/>
      <c r="G19" s="884"/>
      <c r="H19" s="885"/>
      <c r="I19" s="886"/>
      <c r="J19" s="875"/>
      <c r="K19" s="875"/>
      <c r="L19" s="876"/>
    </row>
    <row r="20" spans="1:12">
      <c r="A20" s="906"/>
      <c r="B20" s="879"/>
      <c r="C20" s="879"/>
      <c r="D20" s="879"/>
      <c r="E20" s="880"/>
      <c r="F20" s="46"/>
      <c r="G20" s="909"/>
      <c r="H20" s="875"/>
      <c r="I20" s="875"/>
      <c r="J20" s="875"/>
      <c r="K20" s="875"/>
      <c r="L20" s="876"/>
    </row>
    <row r="21" spans="1:12">
      <c r="A21" s="906"/>
      <c r="B21" s="879"/>
      <c r="C21" s="879"/>
      <c r="D21" s="879"/>
      <c r="E21" s="880"/>
      <c r="F21" s="46"/>
      <c r="G21" s="909"/>
      <c r="H21" s="875"/>
      <c r="I21" s="875"/>
      <c r="J21" s="875"/>
      <c r="K21" s="875"/>
      <c r="L21" s="876"/>
    </row>
    <row r="22" spans="1:12">
      <c r="A22" s="906"/>
      <c r="B22" s="879"/>
      <c r="C22" s="879"/>
      <c r="D22" s="879"/>
      <c r="E22" s="880"/>
      <c r="F22" s="46"/>
      <c r="G22" s="909"/>
      <c r="H22" s="875"/>
      <c r="I22" s="875"/>
      <c r="J22" s="875"/>
      <c r="K22" s="875"/>
      <c r="L22" s="876"/>
    </row>
    <row r="23" spans="1:12">
      <c r="A23" s="906"/>
      <c r="B23" s="879"/>
      <c r="C23" s="879"/>
      <c r="D23" s="879"/>
      <c r="E23" s="880"/>
      <c r="F23" s="46"/>
      <c r="G23" s="909"/>
      <c r="H23" s="875"/>
      <c r="I23" s="875"/>
      <c r="J23" s="875"/>
      <c r="K23" s="875"/>
      <c r="L23" s="876"/>
    </row>
    <row r="24" spans="1:12">
      <c r="A24" s="906"/>
      <c r="B24" s="879"/>
      <c r="C24" s="879"/>
      <c r="D24" s="879"/>
      <c r="E24" s="880"/>
      <c r="F24" s="46"/>
      <c r="G24" s="909"/>
      <c r="H24" s="875"/>
      <c r="I24" s="875"/>
      <c r="J24" s="875"/>
      <c r="K24" s="875"/>
      <c r="L24" s="876"/>
    </row>
    <row r="25" spans="1:12" ht="15.75" thickBot="1">
      <c r="A25" s="907"/>
      <c r="B25" s="910"/>
      <c r="C25" s="910"/>
      <c r="D25" s="910"/>
      <c r="E25" s="911"/>
      <c r="F25" s="46"/>
      <c r="G25" s="913"/>
      <c r="H25" s="877"/>
      <c r="I25" s="877"/>
      <c r="J25" s="877"/>
      <c r="K25" s="877"/>
      <c r="L25" s="878"/>
    </row>
    <row r="27" spans="1:12" ht="18.75">
      <c r="E27" s="912" t="s">
        <v>330</v>
      </c>
      <c r="F27" s="912"/>
      <c r="G27" s="912"/>
      <c r="H27" s="912"/>
      <c r="I27" s="912"/>
    </row>
    <row r="28" spans="1:12" ht="6" customHeight="1">
      <c r="E28" s="72"/>
      <c r="F28" s="72"/>
      <c r="G28" s="72"/>
      <c r="H28" s="72"/>
      <c r="I28" s="72"/>
    </row>
    <row r="29" spans="1:12" s="33" customFormat="1" ht="21" customHeight="1" thickBot="1">
      <c r="B29" s="76" t="s">
        <v>384</v>
      </c>
      <c r="C29" s="76"/>
      <c r="D29" s="76"/>
      <c r="E29" s="76"/>
      <c r="F29" s="76"/>
      <c r="G29" s="76"/>
      <c r="H29" s="76"/>
      <c r="I29" s="76"/>
      <c r="J29" s="76"/>
      <c r="K29" s="76"/>
      <c r="L29" s="76"/>
    </row>
    <row r="30" spans="1:12" ht="6" customHeight="1" thickBot="1">
      <c r="B30" s="74"/>
    </row>
    <row r="31" spans="1:12" ht="21.75" customHeight="1" thickBot="1">
      <c r="B31" s="896" t="s">
        <v>134</v>
      </c>
      <c r="C31" s="897"/>
      <c r="D31" s="897"/>
      <c r="E31" s="898"/>
      <c r="F31" s="77"/>
      <c r="G31" s="899" t="s">
        <v>318</v>
      </c>
      <c r="H31" s="869"/>
      <c r="I31" s="869"/>
      <c r="J31" s="78" t="s">
        <v>298</v>
      </c>
      <c r="K31" s="869" t="s">
        <v>296</v>
      </c>
      <c r="L31" s="870"/>
    </row>
    <row r="32" spans="1:12" ht="14.25" customHeight="1">
      <c r="A32" s="905" t="s">
        <v>309</v>
      </c>
      <c r="B32" s="914"/>
      <c r="C32" s="915"/>
      <c r="D32" s="915"/>
      <c r="E32" s="916"/>
      <c r="F32" s="46"/>
      <c r="G32" s="921"/>
      <c r="H32" s="873"/>
      <c r="I32" s="873"/>
      <c r="J32" s="873"/>
      <c r="K32" s="873"/>
      <c r="L32" s="874"/>
    </row>
    <row r="33" spans="1:12" ht="16.5" customHeight="1">
      <c r="A33" s="906"/>
      <c r="B33" s="884"/>
      <c r="C33" s="885"/>
      <c r="D33" s="885"/>
      <c r="E33" s="917"/>
      <c r="F33" s="46"/>
      <c r="G33" s="900"/>
      <c r="H33" s="867"/>
      <c r="I33" s="867"/>
      <c r="J33" s="867"/>
      <c r="K33" s="867"/>
      <c r="L33" s="868"/>
    </row>
    <row r="34" spans="1:12">
      <c r="A34" s="906"/>
      <c r="B34" s="902" t="str">
        <f>IF(Recommendations!I43="","",Recommendations!I43)</f>
        <v/>
      </c>
      <c r="C34" s="903"/>
      <c r="D34" s="903"/>
      <c r="E34" s="904"/>
      <c r="F34" s="46"/>
      <c r="G34" s="900"/>
      <c r="H34" s="867"/>
      <c r="I34" s="867"/>
      <c r="J34" s="867"/>
      <c r="K34" s="867"/>
      <c r="L34" s="868"/>
    </row>
    <row r="35" spans="1:12">
      <c r="A35" s="906"/>
      <c r="B35" s="902"/>
      <c r="C35" s="903"/>
      <c r="D35" s="903"/>
      <c r="E35" s="904"/>
      <c r="F35" s="46"/>
      <c r="G35" s="900"/>
      <c r="H35" s="867"/>
      <c r="I35" s="867"/>
      <c r="J35" s="867"/>
      <c r="K35" s="867"/>
      <c r="L35" s="868"/>
    </row>
    <row r="36" spans="1:12">
      <c r="A36" s="906"/>
      <c r="B36" s="902" t="str">
        <f>+IF(Recommendations!I53="","",Recommendations!I53)</f>
        <v/>
      </c>
      <c r="C36" s="903"/>
      <c r="D36" s="903"/>
      <c r="E36" s="904"/>
      <c r="F36" s="46"/>
      <c r="G36" s="900"/>
      <c r="H36" s="867"/>
      <c r="I36" s="867"/>
      <c r="J36" s="867"/>
      <c r="K36" s="867"/>
      <c r="L36" s="868"/>
    </row>
    <row r="37" spans="1:12">
      <c r="A37" s="906"/>
      <c r="B37" s="902"/>
      <c r="C37" s="903"/>
      <c r="D37" s="903"/>
      <c r="E37" s="904"/>
      <c r="F37" s="46"/>
      <c r="G37" s="900"/>
      <c r="H37" s="867"/>
      <c r="I37" s="867"/>
      <c r="J37" s="867"/>
      <c r="K37" s="867"/>
      <c r="L37" s="868"/>
    </row>
    <row r="38" spans="1:12">
      <c r="A38" s="906"/>
      <c r="B38" s="902"/>
      <c r="C38" s="903"/>
      <c r="D38" s="903"/>
      <c r="E38" s="904"/>
      <c r="F38" s="46"/>
      <c r="G38" s="900"/>
      <c r="H38" s="867"/>
      <c r="I38" s="867"/>
      <c r="J38" s="867"/>
      <c r="K38" s="867"/>
      <c r="L38" s="868"/>
    </row>
    <row r="39" spans="1:12">
      <c r="A39" s="906"/>
      <c r="B39" s="902"/>
      <c r="C39" s="903"/>
      <c r="D39" s="903"/>
      <c r="E39" s="904"/>
      <c r="F39" s="46"/>
      <c r="G39" s="900"/>
      <c r="H39" s="867"/>
      <c r="I39" s="867"/>
      <c r="J39" s="867"/>
      <c r="K39" s="867"/>
      <c r="L39" s="868"/>
    </row>
    <row r="40" spans="1:12">
      <c r="A40" s="906"/>
      <c r="B40" s="902"/>
      <c r="C40" s="903"/>
      <c r="D40" s="903"/>
      <c r="E40" s="904"/>
      <c r="F40" s="46"/>
      <c r="G40" s="900"/>
      <c r="H40" s="867"/>
      <c r="I40" s="867"/>
      <c r="J40" s="867"/>
      <c r="K40" s="867"/>
      <c r="L40" s="868"/>
    </row>
    <row r="41" spans="1:12">
      <c r="A41" s="906"/>
      <c r="B41" s="902"/>
      <c r="C41" s="903"/>
      <c r="D41" s="903"/>
      <c r="E41" s="904"/>
      <c r="F41" s="46"/>
      <c r="G41" s="900"/>
      <c r="H41" s="867"/>
      <c r="I41" s="867"/>
      <c r="J41" s="867"/>
      <c r="K41" s="867"/>
      <c r="L41" s="868"/>
    </row>
    <row r="42" spans="1:12">
      <c r="A42" s="906"/>
      <c r="B42" s="902"/>
      <c r="C42" s="903"/>
      <c r="D42" s="903"/>
      <c r="E42" s="904"/>
      <c r="F42" s="46"/>
      <c r="G42" s="900"/>
      <c r="H42" s="867"/>
      <c r="I42" s="867"/>
      <c r="J42" s="867"/>
      <c r="K42" s="867"/>
      <c r="L42" s="868"/>
    </row>
    <row r="43" spans="1:12" ht="15.75" thickBot="1">
      <c r="A43" s="907"/>
      <c r="B43" s="918"/>
      <c r="C43" s="919"/>
      <c r="D43" s="919"/>
      <c r="E43" s="920"/>
      <c r="F43" s="46"/>
      <c r="G43" s="901"/>
      <c r="H43" s="871"/>
      <c r="I43" s="871"/>
      <c r="J43" s="871"/>
      <c r="K43" s="871"/>
      <c r="L43" s="872"/>
    </row>
  </sheetData>
  <sheetProtection password="CFC9" sheet="1"/>
  <mergeCells count="67">
    <mergeCell ref="A32:A43"/>
    <mergeCell ref="G31:I31"/>
    <mergeCell ref="G20:I21"/>
    <mergeCell ref="G22:I23"/>
    <mergeCell ref="E27:I27"/>
    <mergeCell ref="B31:E31"/>
    <mergeCell ref="G24:I25"/>
    <mergeCell ref="G38:I39"/>
    <mergeCell ref="B32:E33"/>
    <mergeCell ref="B42:E43"/>
    <mergeCell ref="G32:I33"/>
    <mergeCell ref="B40:E41"/>
    <mergeCell ref="B20:E21"/>
    <mergeCell ref="B34:E35"/>
    <mergeCell ref="G34:I35"/>
    <mergeCell ref="B36:E37"/>
    <mergeCell ref="A14:A25"/>
    <mergeCell ref="J18:J19"/>
    <mergeCell ref="J16:J17"/>
    <mergeCell ref="J14:J15"/>
    <mergeCell ref="B16:E17"/>
    <mergeCell ref="G14:I15"/>
    <mergeCell ref="J24:J25"/>
    <mergeCell ref="B14:E15"/>
    <mergeCell ref="J22:J23"/>
    <mergeCell ref="G16:I17"/>
    <mergeCell ref="B24:E25"/>
    <mergeCell ref="J20:J21"/>
    <mergeCell ref="G42:I43"/>
    <mergeCell ref="G40:I41"/>
    <mergeCell ref="B38:E39"/>
    <mergeCell ref="J42:J43"/>
    <mergeCell ref="J34:J35"/>
    <mergeCell ref="J38:J39"/>
    <mergeCell ref="J40:J41"/>
    <mergeCell ref="J36:J37"/>
    <mergeCell ref="G36:I37"/>
    <mergeCell ref="B2:L2"/>
    <mergeCell ref="C4:D4"/>
    <mergeCell ref="K14:L15"/>
    <mergeCell ref="K16:L17"/>
    <mergeCell ref="E3:I3"/>
    <mergeCell ref="J3:K3"/>
    <mergeCell ref="E4:I4"/>
    <mergeCell ref="J4:K4"/>
    <mergeCell ref="B10:L11"/>
    <mergeCell ref="K13:L13"/>
    <mergeCell ref="E6:I6"/>
    <mergeCell ref="C3:D3"/>
    <mergeCell ref="D5:J5"/>
    <mergeCell ref="B13:E13"/>
    <mergeCell ref="G13:I13"/>
    <mergeCell ref="K24:L25"/>
    <mergeCell ref="J32:J33"/>
    <mergeCell ref="B18:E19"/>
    <mergeCell ref="B22:E23"/>
    <mergeCell ref="G18:I19"/>
    <mergeCell ref="K18:L19"/>
    <mergeCell ref="K22:L23"/>
    <mergeCell ref="K20:L21"/>
    <mergeCell ref="K34:L35"/>
    <mergeCell ref="K40:L41"/>
    <mergeCell ref="K31:L31"/>
    <mergeCell ref="K42:L43"/>
    <mergeCell ref="K36:L37"/>
    <mergeCell ref="K38:L39"/>
    <mergeCell ref="K32:L33"/>
  </mergeCells>
  <phoneticPr fontId="31"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Menu</vt:lpstr>
      <vt:lpstr>List of Indicators</vt:lpstr>
      <vt:lpstr>Data Entry</vt:lpstr>
      <vt:lpstr>Grant Detail</vt:lpstr>
      <vt:lpstr>Finance</vt:lpstr>
      <vt:lpstr>Programmatic</vt:lpstr>
      <vt:lpstr>Management</vt:lpstr>
      <vt:lpstr>Recommendations</vt:lpstr>
      <vt:lpstr>Actions</vt:lpstr>
      <vt:lpstr>Notes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Mahama</dc:creator>
  <cp:lastModifiedBy>user</cp:lastModifiedBy>
  <cp:lastPrinted>2015-05-12T11:08:09Z</cp:lastPrinted>
  <dcterms:created xsi:type="dcterms:W3CDTF">2010-01-15T16:50:41Z</dcterms:created>
  <dcterms:modified xsi:type="dcterms:W3CDTF">2015-08-31T11:57:00Z</dcterms:modified>
</cp:coreProperties>
</file>