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 windowWidth="11775" windowHeight="4020" tabRatio="688" firstSheet="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Notes" sheetId="46" r:id="rId10"/>
    <sheet name="Setup" sheetId="32" state="hidden"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 name="stock">#REF!</definedName>
  </definedNames>
  <calcPr calcId="145621" calcMode="manual"/>
</workbook>
</file>

<file path=xl/calcChain.xml><?xml version="1.0" encoding="utf-8"?>
<calcChain xmlns="http://schemas.openxmlformats.org/spreadsheetml/2006/main">
  <c r="C39" i="29" l="1"/>
  <c r="C47" i="29" s="1"/>
  <c r="I109" i="29" l="1"/>
  <c r="D39" i="29" l="1"/>
  <c r="D47" i="29" l="1"/>
  <c r="C33" i="29" l="1"/>
  <c r="C34" i="29"/>
  <c r="D34" i="29" s="1"/>
  <c r="P143" i="29"/>
  <c r="N145" i="29"/>
  <c r="F23" i="37"/>
  <c r="J144" i="29"/>
  <c r="F20" i="37"/>
  <c r="F22" i="37"/>
  <c r="F21" i="37"/>
  <c r="E53" i="29"/>
  <c r="T126" i="29"/>
  <c r="T127" i="29"/>
  <c r="T128" i="29"/>
  <c r="T129" i="29"/>
  <c r="T130" i="29"/>
  <c r="T131" i="29"/>
  <c r="T132" i="29"/>
  <c r="T133" i="29"/>
  <c r="T134" i="29"/>
  <c r="T135" i="29"/>
  <c r="T136" i="29"/>
  <c r="T137" i="29"/>
  <c r="E52" i="29"/>
  <c r="E55" i="29"/>
  <c r="J30" i="35"/>
  <c r="L32" i="35"/>
  <c r="E111" i="29"/>
  <c r="G111" i="29" s="1"/>
  <c r="I111" i="29" s="1"/>
  <c r="L30" i="35"/>
  <c r="N94" i="29"/>
  <c r="M94" i="29"/>
  <c r="L94" i="29"/>
  <c r="K94" i="29"/>
  <c r="J94" i="29"/>
  <c r="I94" i="29"/>
  <c r="H94" i="29"/>
  <c r="G94" i="29"/>
  <c r="F94" i="29"/>
  <c r="E94" i="29"/>
  <c r="D94" i="29"/>
  <c r="C94" i="29"/>
  <c r="B3" i="27"/>
  <c r="B2" i="39" s="1"/>
  <c r="E26" i="37"/>
  <c r="E25" i="37"/>
  <c r="E24" i="37"/>
  <c r="E23" i="37"/>
  <c r="F25" i="37"/>
  <c r="F24" i="37"/>
  <c r="F29" i="37"/>
  <c r="E22" i="37"/>
  <c r="E21" i="37"/>
  <c r="E20" i="37"/>
  <c r="J3" i="35"/>
  <c r="H26" i="35" s="1"/>
  <c r="L3" i="35"/>
  <c r="I3" i="30"/>
  <c r="K3" i="30"/>
  <c r="C35" i="29"/>
  <c r="T125" i="29"/>
  <c r="T124" i="29"/>
  <c r="T121" i="29"/>
  <c r="T120" i="29"/>
  <c r="T123" i="29"/>
  <c r="T122" i="29"/>
  <c r="T119" i="29"/>
  <c r="T118" i="29"/>
  <c r="H9" i="27"/>
  <c r="L93" i="29"/>
  <c r="K93" i="29"/>
  <c r="J93" i="29"/>
  <c r="I93" i="29"/>
  <c r="H93" i="29"/>
  <c r="G93" i="29"/>
  <c r="F93" i="29"/>
  <c r="E93" i="29"/>
  <c r="D93" i="29"/>
  <c r="C93" i="29"/>
  <c r="K5" i="30"/>
  <c r="K4" i="30"/>
  <c r="L5" i="35"/>
  <c r="L4" i="35"/>
  <c r="Q5" i="37"/>
  <c r="Q4" i="37"/>
  <c r="M5" i="42"/>
  <c r="M4" i="42"/>
  <c r="L5" i="39"/>
  <c r="L4" i="39"/>
  <c r="C4" i="39"/>
  <c r="C3" i="39"/>
  <c r="B3" i="39"/>
  <c r="C4" i="42"/>
  <c r="C3" i="42"/>
  <c r="B3" i="42"/>
  <c r="C4" i="37"/>
  <c r="C3" i="37"/>
  <c r="B3" i="37"/>
  <c r="C4" i="35"/>
  <c r="C3" i="35"/>
  <c r="B3" i="35"/>
  <c r="C4" i="30"/>
  <c r="C3" i="30"/>
  <c r="B3" i="30"/>
  <c r="I9" i="27"/>
  <c r="G9" i="27"/>
  <c r="G13" i="27"/>
  <c r="G11" i="27"/>
  <c r="D11" i="27"/>
  <c r="B12" i="27"/>
  <c r="I11" i="27"/>
  <c r="D10" i="27"/>
  <c r="B10" i="27"/>
  <c r="B9" i="27"/>
  <c r="B6" i="27"/>
  <c r="B4" i="1"/>
  <c r="E90" i="29"/>
  <c r="E89" i="29"/>
  <c r="D11" i="42"/>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Q143" i="29"/>
  <c r="R143" i="29"/>
  <c r="S143" i="29"/>
  <c r="F145" i="29"/>
  <c r="F147" i="29"/>
  <c r="F143" i="29"/>
  <c r="E145" i="29"/>
  <c r="E147" i="29"/>
  <c r="E143" i="29"/>
  <c r="B145" i="29"/>
  <c r="B147" i="29"/>
  <c r="B143" i="29"/>
  <c r="B32" i="29"/>
  <c r="D38" i="29"/>
  <c r="C38" i="29"/>
  <c r="N33" i="29"/>
  <c r="N35" i="29" s="1"/>
  <c r="N34" i="29"/>
  <c r="B31" i="29"/>
  <c r="E51" i="29"/>
  <c r="H29" i="30"/>
  <c r="H28" i="30"/>
  <c r="H27" i="30"/>
  <c r="D24" i="42"/>
  <c r="D23" i="42"/>
  <c r="D22" i="42"/>
  <c r="D21" i="42"/>
  <c r="D20" i="42"/>
  <c r="D19" i="42"/>
  <c r="D14" i="42"/>
  <c r="D13" i="42"/>
  <c r="D12" i="42"/>
  <c r="B26" i="45"/>
  <c r="B24" i="45"/>
  <c r="B23" i="45"/>
  <c r="B22" i="45"/>
  <c r="B21" i="45"/>
  <c r="B20" i="45"/>
  <c r="B12" i="45"/>
  <c r="B10" i="45"/>
  <c r="B9" i="45"/>
  <c r="B8" i="45"/>
  <c r="B4" i="37"/>
  <c r="B4" i="35"/>
  <c r="B4" i="30"/>
  <c r="G73" i="29"/>
  <c r="F20" i="42" s="1"/>
  <c r="G12" i="27"/>
  <c r="H4" i="1"/>
  <c r="K147" i="29"/>
  <c r="K145" i="29"/>
  <c r="K143" i="29"/>
  <c r="C98" i="29"/>
  <c r="D98" i="29"/>
  <c r="E98" i="29" s="1"/>
  <c r="F98" i="29" s="1"/>
  <c r="G98" i="29" s="1"/>
  <c r="H98" i="29" s="1"/>
  <c r="I98" i="29" s="1"/>
  <c r="J98" i="29" s="1"/>
  <c r="K98" i="29" s="1"/>
  <c r="L98" i="29" s="1"/>
  <c r="M98" i="29" s="1"/>
  <c r="N98" i="29" s="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s="1"/>
  <c r="F100" i="29" s="1"/>
  <c r="G100" i="29" s="1"/>
  <c r="H100" i="29" s="1"/>
  <c r="I100" i="29" s="1"/>
  <c r="J100" i="29" s="1"/>
  <c r="K100" i="29" s="1"/>
  <c r="L100" i="29" s="1"/>
  <c r="M100" i="29" s="1"/>
  <c r="N100" i="29" s="1"/>
  <c r="C99" i="29"/>
  <c r="D99" i="29"/>
  <c r="E99" i="29" s="1"/>
  <c r="F99" i="29" s="1"/>
  <c r="G99" i="29" s="1"/>
  <c r="H99" i="29" s="1"/>
  <c r="I99" i="29" s="1"/>
  <c r="J99" i="29" s="1"/>
  <c r="K99" i="29" s="1"/>
  <c r="L99" i="29" s="1"/>
  <c r="M99" i="29" s="1"/>
  <c r="N99" i="29" s="1"/>
  <c r="D5" i="35"/>
  <c r="E4" i="35"/>
  <c r="K5" i="35"/>
  <c r="J4" i="35"/>
  <c r="D5" i="37"/>
  <c r="P5" i="37"/>
  <c r="P4" i="37"/>
  <c r="O3" i="37"/>
  <c r="J5" i="30"/>
  <c r="D5" i="30"/>
  <c r="I4" i="30"/>
  <c r="E4" i="30"/>
  <c r="L8" i="37"/>
  <c r="F8" i="37"/>
  <c r="B8" i="37"/>
  <c r="L143" i="29"/>
  <c r="J148" i="29"/>
  <c r="J147" i="29"/>
  <c r="J146" i="29"/>
  <c r="J145" i="29"/>
  <c r="J143" i="29"/>
  <c r="I148" i="29"/>
  <c r="E29" i="37"/>
  <c r="I147" i="29"/>
  <c r="F28" i="37"/>
  <c r="I146" i="29"/>
  <c r="E28" i="37"/>
  <c r="I145" i="29"/>
  <c r="F27" i="37"/>
  <c r="I144" i="29"/>
  <c r="E27" i="37"/>
  <c r="I143" i="29"/>
  <c r="F26" i="37"/>
  <c r="H148" i="29"/>
  <c r="H147" i="29"/>
  <c r="H146" i="29"/>
  <c r="H145" i="29"/>
  <c r="H144" i="29"/>
  <c r="H143" i="29"/>
  <c r="B26" i="37"/>
  <c r="B25" i="37"/>
  <c r="B24" i="37"/>
  <c r="B23" i="37"/>
  <c r="B22" i="37"/>
  <c r="B21" i="37"/>
  <c r="B20" i="37"/>
  <c r="B27" i="37"/>
  <c r="B36" i="39"/>
  <c r="B34" i="39"/>
  <c r="E54" i="29"/>
  <c r="B34" i="35"/>
  <c r="R29" i="29"/>
  <c r="Z24" i="37"/>
  <c r="AA24" i="37"/>
  <c r="AB24" i="37" s="1"/>
  <c r="Z23" i="37"/>
  <c r="AA23" i="37" s="1"/>
  <c r="Z22" i="37"/>
  <c r="AA22" i="37"/>
  <c r="AD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D33" i="29"/>
  <c r="D35" i="29" s="1"/>
  <c r="L31" i="35"/>
  <c r="J31" i="35"/>
  <c r="J32" i="35"/>
  <c r="B3" i="32"/>
  <c r="B2" i="35"/>
  <c r="K148" i="29"/>
  <c r="K146" i="29"/>
  <c r="K144" i="29"/>
  <c r="B2" i="45"/>
  <c r="E33" i="29"/>
  <c r="R31" i="29" s="1"/>
  <c r="F33" i="29"/>
  <c r="R32" i="29" s="1"/>
  <c r="B2" i="42"/>
  <c r="B2" i="30"/>
  <c r="B2" i="1"/>
  <c r="B2" i="37"/>
  <c r="B22" i="30"/>
  <c r="AE22" i="37"/>
  <c r="G33" i="29"/>
  <c r="G35" i="29" s="1"/>
  <c r="F35" i="29"/>
  <c r="AD24" i="37"/>
  <c r="H33" i="29"/>
  <c r="H35" i="29" s="1"/>
  <c r="I33" i="29"/>
  <c r="R35" i="29" s="1"/>
  <c r="J33" i="29"/>
  <c r="K33" i="29" s="1"/>
  <c r="L33" i="29"/>
  <c r="L35" i="29" s="1"/>
  <c r="M33" i="29"/>
  <c r="M35" i="29" s="1"/>
  <c r="B7" i="35" l="1"/>
  <c r="Q51" i="29"/>
  <c r="B15" i="35"/>
  <c r="H15" i="35"/>
  <c r="B8" i="30"/>
  <c r="F47" i="29"/>
  <c r="R34" i="29"/>
  <c r="R33" i="29"/>
  <c r="I35" i="29"/>
  <c r="R30" i="29"/>
  <c r="AD23" i="37"/>
  <c r="AF23" i="37"/>
  <c r="AE23" i="37"/>
  <c r="AB23" i="37"/>
  <c r="AC23" i="37"/>
  <c r="AE24" i="37"/>
  <c r="AC24" i="37"/>
  <c r="AB22" i="37"/>
  <c r="AF24" i="37"/>
  <c r="AC22" i="37"/>
  <c r="R49" i="29"/>
  <c r="E35" i="29"/>
  <c r="AF22" i="37"/>
  <c r="H8" i="30"/>
  <c r="H7" i="35"/>
  <c r="R50" i="29"/>
  <c r="K35" i="29"/>
  <c r="J33" i="35"/>
  <c r="K111" i="29"/>
  <c r="L33" i="35" s="1"/>
  <c r="J35" i="29"/>
  <c r="E20" i="42"/>
  <c r="H22" i="30"/>
  <c r="G24" i="37"/>
  <c r="G23" i="37"/>
  <c r="G21" i="37"/>
  <c r="G22" i="37"/>
  <c r="G25" i="37"/>
  <c r="G20" i="37"/>
  <c r="G28" i="37"/>
  <c r="G29" i="37"/>
  <c r="G26" i="37"/>
  <c r="G27" i="37"/>
  <c r="O31" i="29" l="1"/>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rPr>
          <t xml:space="preserve">If data are not available, do not enter zeros; rather, leave the cells in this table blank. </t>
        </r>
      </text>
    </comment>
    <comment ref="B94" author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<sst xmlns="http://schemas.openxmlformats.org/spreadsheetml/2006/main" count="623" uniqueCount="466">
  <si>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</si>
  <si>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</si>
  <si>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</si>
  <si>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</si>
  <si>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</si>
  <si>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</si>
  <si>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</si>
  <si>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</si>
  <si>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</si>
  <si>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</si>
  <si>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</si>
  <si>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</si>
  <si>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</si>
  <si>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</si>
  <si>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</si>
  <si>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</si>
  <si>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</si>
  <si>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</si>
  <si>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</si>
  <si>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</si>
  <si>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</si>
  <si>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</si>
  <si>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</si>
  <si>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</si>
  <si>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</si>
  <si>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</si>
  <si>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</si>
  <si>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</si>
  <si>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</si>
  <si>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</si>
  <si>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</si>
  <si>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</si>
  <si>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</si>
  <si>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</si>
  <si>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</si>
  <si>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</si>
  <si>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</si>
  <si>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</si>
  <si>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</si>
  <si>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</si>
  <si>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</si>
  <si>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</si>
  <si>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</si>
  <si>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</si>
  <si>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</si>
  <si>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</si>
  <si>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</si>
  <si>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</si>
  <si>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</si>
  <si>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</si>
  <si>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</si>
  <si>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</si>
  <si>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</si>
  <si>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</si>
  <si>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</si>
  <si>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</si>
  <si>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</si>
  <si>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</si>
  <si>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</si>
  <si>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</si>
  <si>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</si>
  <si>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</si>
  <si>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</si>
  <si>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</si>
  <si>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</si>
  <si>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</si>
  <si>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</si>
  <si>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</si>
  <si>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</si>
  <si>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</si>
  <si>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</si>
  <si>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</si>
  <si>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</si>
  <si>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</si>
  <si>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</si>
  <si>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</si>
  <si>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</si>
  <si>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</si>
  <si>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</si>
  <si>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</si>
  <si>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</si>
  <si>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</si>
  <si>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</si>
  <si>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</si>
  <si>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</si>
  <si>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</si>
  <si>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</si>
  <si>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</si>
  <si>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</si>
  <si>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</si>
  <si>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</si>
  <si>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</si>
  <si>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</si>
  <si>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</si>
  <si>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</si>
  <si>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</si>
  <si>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</si>
  <si>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</si>
  <si>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</si>
  <si>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</si>
  <si>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</si>
  <si>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</si>
  <si>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</si>
  <si>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</si>
  <si>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</si>
  <si>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</si>
  <si>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</si>
  <si>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</si>
  <si>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</si>
  <si>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</si>
  <si>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</si>
  <si>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</si>
  <si>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</si>
  <si>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</si>
  <si>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</si>
  <si>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</si>
  <si>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</si>
  <si>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</si>
  <si>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</si>
  <si>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</si>
  <si>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</si>
  <si>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</si>
  <si>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</si>
  <si>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</si>
  <si>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</si>
  <si>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</si>
  <si>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</si>
  <si>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</si>
  <si>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</si>
  <si>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</si>
  <si>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</si>
  <si>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</si>
  <si>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</si>
  <si>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</si>
  <si>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</si>
  <si>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</si>
  <si>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</si>
  <si>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</si>
  <si>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</si>
  <si>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</si>
  <si>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</si>
  <si>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</si>
  <si>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</si>
  <si>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</si>
  <si>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</si>
  <si>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</si>
  <si>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</si>
  <si>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</si>
  <si>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</si>
  <si>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</si>
  <si>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</si>
  <si>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</si>
  <si>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</si>
  <si>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</si>
  <si>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</si>
  <si>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</si>
  <si>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</si>
  <si>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</si>
  <si>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</si>
  <si>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</si>
  <si>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</si>
  <si>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</si>
  <si>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</si>
  <si>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</si>
  <si>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</si>
  <si>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</si>
  <si>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</si>
  <si>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</si>
  <si>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</si>
  <si>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</si>
  <si>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</si>
  <si>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</si>
  <si>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</si>
  <si>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</si>
  <si>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</si>
  <si>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</si>
  <si>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</si>
  <si>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</si>
  <si>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</si>
  <si>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</si>
  <si>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</si>
  <si>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</si>
  <si>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</si>
  <si>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</si>
  <si>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</si>
  <si>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</si>
  <si>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</si>
  <si>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</si>
  <si>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</si>
  <si>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</si>
  <si>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</si>
  <si>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</si>
  <si>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</si>
  <si>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</si>
  <si>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</si>
  <si>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</si>
  <si>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</si>
  <si>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</si>
  <si>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</si>
  <si>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</si>
  <si>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</si>
  <si>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</si>
  <si>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</si>
  <si>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</si>
  <si>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</si>
  <si>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</si>
  <si>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</si>
  <si>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</si>
  <si>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</si>
  <si>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</si>
  <si>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</si>
  <si>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</si>
  <si>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</si>
  <si>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</si>
  <si>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</si>
  <si>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</si>
  <si>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</si>
  <si>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</si>
  <si>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</si>
  <si>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</si>
  <si>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</si>
  <si>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</si>
  <si>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</si>
  <si>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</si>
  <si>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</si>
  <si>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</si>
  <si>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</si>
  <si>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</si>
  <si>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</si>
  <si>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</si>
  <si>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</si>
  <si>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</si>
  <si>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</si>
  <si>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</si>
  <si>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</si>
  <si>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</si>
  <si>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</si>
  <si>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</si>
  <si>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</si>
  <si>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</si>
  <si>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</si>
  <si>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</si>
  <si>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</si>
  <si>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</si>
  <si>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</si>
  <si>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</si>
  <si>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</si>
  <si>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</si>
  <si>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</si>
  <si>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</si>
  <si>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</si>
  <si>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</si>
  <si>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</si>
  <si>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</si>
  <si>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</si>
  <si>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</si>
  <si>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</si>
  <si>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</si>
  <si>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</si>
  <si>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</si>
  <si>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</si>
  <si>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</si>
  <si>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</si>
  <si>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</si>
  <si>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</si>
  <si>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</si>
  <si>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</si>
  <si>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</si>
  <si>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</si>
  <si>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</si>
  <si>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</si>
  <si>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</si>
  <si>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</si>
  <si>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</si>
  <si>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</si>
  <si>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</si>
  <si>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</si>
  <si>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</si>
  <si>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</si>
  <si>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</si>
  <si>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</si>
  <si>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</si>
  <si>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</si>
  <si>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</si>
  <si>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</si>
  <si>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</si>
  <si>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</si>
  <si>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</si>
  <si>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</si>
  <si>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</si>
  <si>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</si>
  <si>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</si>
  <si>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</si>
  <si>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</si>
  <si>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</si>
  <si>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</si>
  <si>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</si>
  <si>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</si>
  <si>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</si>
  <si>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</si>
  <si>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</si>
  <si>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</si>
  <si>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</si>
  <si>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</si>
  <si>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</si>
  <si>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</si>
  <si>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</si>
  <si>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</si>
  <si>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</si>
  <si>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</si>
  <si>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</si>
  <si>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</si>
  <si>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</si>
  <si>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</si>
  <si>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</si>
  <si>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</si>
  <si>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</si>
  <si>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</si>
  <si>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</si>
  <si>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</si>
  <si>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</si>
  <si>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</si>
  <si>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</si>
  <si>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</si>
  <si>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</si>
  <si>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</si>
  <si>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</si>
  <si>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</si>
  <si>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</si>
  <si>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</si>
  <si>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</si>
  <si>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</si>
  <si>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</si>
  <si>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</si>
  <si>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</si>
  <si>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</si>
  <si>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</si>
  <si>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</si>
  <si>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</si>
  <si>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</si>
  <si>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</si>
  <si>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</si>
  <si>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</si>
  <si>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</si>
  <si>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</si>
  <si>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</si>
  <si>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</si>
  <si>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</si>
  <si>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</si>
  <si>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</si>
  <si>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</si>
  <si>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</si>
  <si>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</si>
  <si>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</si>
  <si>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</si>
  <si>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</si>
  <si>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</si>
  <si>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</si>
  <si>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</si>
  <si>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</si>
  <si>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</si>
  <si>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</si>
  <si>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</si>
  <si>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</si>
  <si>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</si>
  <si>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</si>
  <si>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</si>
  <si>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</si>
  <si>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</si>
  <si>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</si>
  <si>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</si>
  <si>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</si>
  <si>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</si>
  <si>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</si>
  <si>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</si>
  <si>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</si>
  <si>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</si>
  <si>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</si>
  <si>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</si>
  <si>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</si>
  <si>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</si>
  <si>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</si>
  <si>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</si>
  <si>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</si>
  <si>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</si>
  <si>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</si>
  <si>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</si>
  <si>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</si>
  <si>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</si>
  <si>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Reinforcing Scaling Up HIV Services:  Prevention &amp; Targetting</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</si>
  <si>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</si>
  <si>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</si>
  <si>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</si>
  <si>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</si>
  <si>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</si>
  <si>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</si>
  <si>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</si>
  <si>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</si>
  <si>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</si>
  <si>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</si>
  <si>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</si>
  <si>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r>
      <t xml:space="preserve">Days from end of </t>
    </r>
    <r>
      <rPr>
        <u/>
        <sz val="11"/>
        <color indexed="8"/>
        <rFont val="Calibri"/>
        <family val="2"/>
      </rPr>
      <t>previous</t>
    </r>
    <r>
      <rPr>
        <sz val="11"/>
        <color theme="1"/>
        <rFont val="Calibri"/>
        <family val="2"/>
        <scheme val="minor"/>
      </rPr>
      <t xml:space="preserve"> reporting period until </t>
    </r>
    <r>
      <rPr>
        <u/>
        <sz val="11"/>
        <color indexed="8"/>
        <rFont val="Calibri"/>
        <family val="2"/>
      </rPr>
      <t>accepted</t>
    </r>
    <r>
      <rPr>
        <sz val="11"/>
        <color theme="1"/>
        <rFont val="Calibri"/>
        <family val="2"/>
        <scheme val="minor"/>
      </rPr>
      <t xml:space="preserve"> PU/DR was sent to LFA</t>
    </r>
  </si>
  <si>
    <t>Days from receipt of accepted PU/DR by LFA</t>
  </si>
  <si>
    <r>
      <t>Average</t>
    </r>
    <r>
      <rPr>
        <sz val="11"/>
        <color theme="1"/>
        <rFont val="Calibri"/>
        <family val="2"/>
        <scheme val="minor"/>
      </rPr>
      <t xml:space="preserve"> days from receipt by PR to receipt by SRs </t>
    </r>
  </si>
  <si>
    <t>(5) 
Current stock in central warehouse (that does not expire within the next 3 months)</t>
  </si>
  <si>
    <t>(8)  =  (6) - (7)
Difference between current stock and safety stock</t>
  </si>
  <si>
    <t>M4: Number of complete reports received on time, this reporting period</t>
  </si>
  <si>
    <t>GHN-809-G10-H</t>
  </si>
  <si>
    <t>PPAG</t>
  </si>
  <si>
    <t>PR</t>
  </si>
  <si>
    <t>PR doesn't procure health products, equip't, medicines, pharmaceuticals.</t>
  </si>
  <si>
    <t>Notes that don't fit into dashboard cells.  This list can be updated each period.</t>
  </si>
  <si>
    <t>Notes</t>
  </si>
  <si>
    <t>Comment Date</t>
  </si>
  <si>
    <t>Rptg Period</t>
  </si>
  <si>
    <t>Author</t>
  </si>
  <si>
    <t>PR or CCM</t>
  </si>
  <si>
    <t>Indic #</t>
  </si>
  <si>
    <t>Comment</t>
  </si>
  <si>
    <t>&lt;CCM Generic Dashboard_EN_fixed.xls&gt;   [received 26jan'10]</t>
  </si>
  <si>
    <t>This dashboard was customised from GF's January 2010 generic file,</t>
  </si>
  <si>
    <t>Note: from 01Mar10 GF letter</t>
  </si>
  <si>
    <t>≥ 90%</t>
  </si>
  <si>
    <t>The indicators should be selected from the Performance Framework 
by the PRs and members of the CCM or the CCM Technical Committee.</t>
  </si>
  <si>
    <t>Pr5.</t>
  </si>
  <si>
    <t>Pr6.</t>
  </si>
  <si>
    <t>Pr7.</t>
  </si>
  <si>
    <t>Pr8.</t>
  </si>
  <si>
    <t>Condoms</t>
  </si>
  <si>
    <t>HIV test kits</t>
  </si>
  <si>
    <t>HIV confirmation kits</t>
  </si>
  <si>
    <t>Notes/Calc</t>
  </si>
  <si>
    <t>Conditions Precedent (CPs)</t>
  </si>
  <si>
    <t>(6)  =  (5) / (4)
Stock level expressed in months of use for all current PEs or clients</t>
  </si>
  <si>
    <t>(1)
No. of condoms per PE per week
 OR 
No. of kits per client per week</t>
  </si>
  <si>
    <t>(2)  =  (1) x 4
Monthly need 
(items per week x 4)</t>
  </si>
  <si>
    <t>(3) 
Total no. of PEs 
OR
Total no. of clients tested/month</t>
  </si>
  <si>
    <t>(4)  =  (2) x (3)
Total # items required for all PEs or clients per month (28 days)</t>
  </si>
  <si>
    <t>Jul-Sep 2015</t>
  </si>
  <si>
    <t>Oct-Dec 2015</t>
  </si>
  <si>
    <t>Quarterly</t>
  </si>
  <si>
    <t>Project reports</t>
  </si>
  <si>
    <t>Anne-Marie A. Godwyll</t>
  </si>
  <si>
    <t>NFM</t>
  </si>
  <si>
    <t xml:space="preserve">KP-1e: Percentage of other vulnerable populations reached with HIV prevention programs - defined package of services </t>
  </si>
  <si>
    <t>KP-3e: Percentage of other vulnerable populations that have received an HIV test during the reporting period and know their results</t>
  </si>
  <si>
    <t>Definition  (from PR's NFM Phase M&amp;E Plan, [date] _________)</t>
  </si>
  <si>
    <t>Jan-Mar 2016</t>
  </si>
  <si>
    <t>Apr-Jun 2016</t>
  </si>
  <si>
    <t>July-Sep 2016</t>
  </si>
  <si>
    <t>Oct-Dec 2016</t>
  </si>
  <si>
    <t>Jan-Mar 2017</t>
  </si>
  <si>
    <t>Apr-Jun 2017</t>
  </si>
  <si>
    <t>July-Sep 2017</t>
  </si>
  <si>
    <t>Oct-Dec 2017</t>
  </si>
  <si>
    <t>July-Sep 2015</t>
  </si>
  <si>
    <t>Jul-Sep 2017</t>
  </si>
  <si>
    <t xml:space="preserve">Vulnerable group here refers to prison Inmates. Reached means prison inmates received facts on and HIV/AIDs, TB, BCC and stigma reduction messages. 
The PR defines her HIV prevention service package as: 
1. Distribution of personal hygiene kits to prevent disease transmission (tooth paste and brush, shaving blades), and any of these two stated services 
2. Targeted IEC/BCC on HIV and TB through one-on-one and small group discussions.  
3. Drama performance. 
A prison inmate will be counted as reached if s/he receives a set of personal hygiene kits and at least one of the other two services within a reported period of six months. The services will be provided by Peer Educators on cell basis and Staff of PPAG, her SR and the National TB Program on outreach basis with support from Prison Officers.
</t>
  </si>
  <si>
    <t xml:space="preserve">Prison inmates tested for HIV means inmates blood samples are taken by a health provider/HIV counsellor and tester and checked for HIV virus 
Received results mean inmates know their HIV status of being positive or negative.
</t>
  </si>
  <si>
    <t>Mark Saalfeld</t>
  </si>
  <si>
    <t>12 months</t>
  </si>
  <si>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</si>
  <si>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t>KP-1e: Percentage of other vulnerable populations reached with HIV prevention programs - defined package of services</t>
  </si>
  <si>
    <t>Grant Indicators</t>
  </si>
  <si>
    <t xml:space="preserve">PR intensified its education through peer education and drama activities to reach out to Inmates since target was not met last quarter and more inmates were available to be educated in the reported period.
</t>
  </si>
  <si>
    <t xml:space="preserve">Intensified education on benefits of know your status and the availability of test kits made it to possible obtain this achievement.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</si>
</sst>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s>
  <fonts count="135">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1"/>
      <color indexed="16"/>
      <name val="Calibri"/>
      <family val="2"/>
    </font>
    <font>
      <b/>
      <sz val="14"/>
      <color indexed="52"/>
      <name val="Calibri"/>
      <family val="2"/>
    </font>
    <font>
      <sz val="11"/>
      <color indexed="8"/>
      <name val="Calibri"/>
      <family val="2"/>
    </font>
    <font>
      <b/>
      <sz val="10"/>
      <color indexed="53"/>
      <name val="Calibri"/>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1"/>
      <color indexed="12"/>
      <name val="Calibri"/>
      <family val="2"/>
    </font>
    <font>
      <i/>
      <sz val="11"/>
      <name val="Calibri"/>
      <family val="2"/>
    </font>
    <font>
      <b/>
      <sz val="8"/>
      <color indexed="81"/>
      <name val="Tahoma"/>
      <family val="2"/>
    </font>
    <font>
      <sz val="8"/>
      <color indexed="81"/>
      <name val="Tahoma"/>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b/>
      <sz val="11"/>
      <color indexed="8"/>
      <name val="Calibri"/>
      <family val="2"/>
    </font>
    <font>
      <sz val="8"/>
      <color indexed="8"/>
      <name val="Calibri"/>
      <family val="2"/>
    </font>
    <font>
      <b/>
      <sz val="8"/>
      <name val="Arial"/>
      <family val="2"/>
    </font>
    <font>
      <sz val="11"/>
      <color indexed="8"/>
      <name val="Calibri"/>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b/>
      <i/>
      <sz val="14"/>
      <color indexed="12"/>
      <name val="Calibri"/>
      <family val="2"/>
    </font>
    <font>
      <u/>
      <sz val="11"/>
      <color indexed="8"/>
      <name val="Calibri"/>
      <family val="2"/>
    </font>
    <font>
      <b/>
      <i/>
      <sz val="11"/>
      <color indexed="48"/>
      <name val="Calibri"/>
      <family val="2"/>
    </font>
    <font>
      <sz val="11"/>
      <color theme="1"/>
      <name val="Calibri"/>
      <family val="2"/>
      <scheme val="minor"/>
    </font>
    <font>
      <sz val="12"/>
      <color theme="1"/>
      <name val="Calibri"/>
      <family val="2"/>
      <scheme val="minor"/>
    </font>
    <font>
      <sz val="11"/>
      <name val="Calibri"/>
      <family val="2"/>
      <scheme val="minor"/>
    </font>
    <font>
      <sz val="11"/>
      <color rgb="FFFF0000"/>
      <name val="Calibri"/>
      <family val="2"/>
    </font>
    <font>
      <sz val="11"/>
      <color rgb="FFFF0000"/>
      <name val="Calibri"/>
      <family val="2"/>
      <scheme val="minor"/>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gray0625">
        <fgColor indexed="52"/>
        <bgColor indexed="43"/>
      </patternFill>
    </fill>
    <fill>
      <patternFill patternType="gray0625">
        <fgColor indexed="51"/>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lightTrellis">
        <fgColor indexed="9"/>
        <bgColor indexed="43"/>
      </patternFill>
    </fill>
    <fill>
      <patternFill patternType="solid">
        <fgColor indexed="18"/>
        <bgColor indexed="64"/>
      </patternFill>
    </fill>
    <fill>
      <patternFill patternType="solid">
        <fgColor indexed="62"/>
        <bgColor indexed="64"/>
      </patternFill>
    </fill>
    <fill>
      <patternFill patternType="gray0625">
        <fgColor indexed="51"/>
        <bgColor indexed="43"/>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ck">
        <color indexed="9"/>
      </right>
      <top/>
      <bottom/>
      <diagonal/>
    </border>
    <border>
      <left style="hair">
        <color indexed="64"/>
      </left>
      <right style="hair">
        <color indexed="64"/>
      </right>
      <top/>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right style="thin">
        <color indexed="64"/>
      </right>
      <top style="medium">
        <color indexed="51"/>
      </top>
      <bottom style="thin">
        <color indexed="64"/>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51"/>
      </right>
      <top style="thin">
        <color indexed="64"/>
      </top>
      <bottom style="thin">
        <color indexed="64"/>
      </bottom>
      <diagonal/>
    </border>
    <border>
      <left style="thin">
        <color indexed="64"/>
      </left>
      <right style="thin">
        <color indexed="64"/>
      </right>
      <top style="thin">
        <color indexed="64"/>
      </top>
      <bottom style="medium">
        <color indexed="51"/>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30"/>
      </top>
      <bottom style="thin">
        <color indexed="3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6"/>
      </left>
      <right style="thin">
        <color indexed="16"/>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51"/>
      </left>
      <right style="medium">
        <color indexed="51"/>
      </right>
      <top style="thin">
        <color indexed="64"/>
      </top>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51"/>
      </left>
      <right style="medium">
        <color indexed="51"/>
      </right>
      <top/>
      <bottom style="medium">
        <color indexed="51"/>
      </bottom>
      <diagonal/>
    </border>
    <border>
      <left style="medium">
        <color indexed="51"/>
      </left>
      <right style="thin">
        <color indexed="64"/>
      </right>
      <top/>
      <bottom style="medium">
        <color indexed="51"/>
      </bottom>
      <diagonal/>
    </border>
    <border>
      <left style="medium">
        <color indexed="51"/>
      </left>
      <right style="medium">
        <color indexed="51"/>
      </right>
      <top style="thin">
        <color indexed="64"/>
      </top>
      <bottom style="thin">
        <color indexed="64"/>
      </bottom>
      <diagonal/>
    </border>
    <border>
      <left style="medium">
        <color indexed="51"/>
      </left>
      <right style="thin">
        <color indexed="64"/>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48"/>
      </left>
      <right style="thin">
        <color indexed="64"/>
      </right>
      <top style="medium">
        <color indexed="4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right/>
      <top style="medium">
        <color indexed="60"/>
      </top>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right style="medium">
        <color indexed="51"/>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9"/>
      </left>
      <right/>
      <top/>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right style="medium">
        <color indexed="52"/>
      </right>
      <top/>
      <bottom style="medium">
        <color indexed="5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right/>
      <top/>
      <bottom style="medium">
        <color indexed="52"/>
      </bottom>
      <diagonal/>
    </border>
    <border>
      <left/>
      <right style="medium">
        <color indexed="60"/>
      </right>
      <top style="hair">
        <color indexed="23"/>
      </top>
      <bottom style="hair">
        <color indexed="23"/>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hair">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s>
  <cellStyleXfs count="6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7" fillId="16" borderId="0" applyNumberFormat="0" applyBorder="0" applyAlignment="0" applyProtection="0"/>
    <xf numFmtId="0" fontId="11" fillId="2" borderId="1" applyNumberFormat="0" applyAlignment="0" applyProtection="0"/>
    <xf numFmtId="0" fontId="13" fillId="17" borderId="2" applyNumberFormat="0" applyAlignment="0" applyProtection="0"/>
    <xf numFmtId="43" fontId="5" fillId="0" borderId="0" applyFont="0" applyFill="0" applyBorder="0" applyAlignment="0" applyProtection="0"/>
    <xf numFmtId="169" fontId="4" fillId="0" borderId="0" applyFont="0" applyFill="0" applyBorder="0" applyAlignment="0" applyProtection="0"/>
    <xf numFmtId="0" fontId="15" fillId="0" borderId="0" applyNumberFormat="0" applyFill="0" applyBorder="0" applyAlignment="0" applyProtection="0"/>
    <xf numFmtId="0" fontId="6" fillId="1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3" borderId="1" applyNumberFormat="0" applyAlignment="0" applyProtection="0"/>
    <xf numFmtId="0" fontId="12" fillId="0" borderId="6" applyNumberFormat="0" applyFill="0" applyAlignment="0" applyProtection="0"/>
    <xf numFmtId="43" fontId="4" fillId="0" borderId="0" applyFill="0" applyBorder="0" applyAlignment="0" applyProtection="0"/>
    <xf numFmtId="43" fontId="1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xf numFmtId="43" fontId="3" fillId="0" borderId="0"/>
    <xf numFmtId="43" fontId="130" fillId="0" borderId="0"/>
    <xf numFmtId="43" fontId="130" fillId="0" borderId="0"/>
    <xf numFmtId="43" fontId="130" fillId="0" borderId="0"/>
    <xf numFmtId="43" fontId="130" fillId="0" borderId="0"/>
    <xf numFmtId="0" fontId="69" fillId="0" borderId="0"/>
    <xf numFmtId="0" fontId="4" fillId="4" borderId="7" applyNumberFormat="0" applyFont="0" applyAlignment="0" applyProtection="0"/>
    <xf numFmtId="0" fontId="10" fillId="2" borderId="8" applyNumberFormat="0" applyAlignment="0" applyProtection="0"/>
    <xf numFmtId="9" fontId="5" fillId="0" borderId="0" applyFont="0" applyFill="0" applyBorder="0" applyAlignment="0" applyProtection="0"/>
    <xf numFmtId="0" fontId="44" fillId="0" borderId="0" applyNumberFormat="0" applyFill="0" applyBorder="0" applyAlignment="0" applyProtection="0"/>
    <xf numFmtId="43" fontId="130" fillId="0" borderId="9" applyNumberFormat="0" applyFill="0" applyAlignment="0" applyProtection="0"/>
    <xf numFmtId="43" fontId="3" fillId="0" borderId="9" applyNumberFormat="0" applyFill="0" applyAlignment="0" applyProtection="0"/>
    <xf numFmtId="43" fontId="3" fillId="0" borderId="9" applyNumberFormat="0" applyFill="0" applyAlignment="0" applyProtection="0"/>
    <xf numFmtId="43" fontId="130" fillId="0" borderId="9" applyNumberFormat="0" applyFill="0" applyAlignment="0" applyProtection="0"/>
    <xf numFmtId="0" fontId="78" fillId="0" borderId="0" applyNumberFormat="0" applyFill="0" applyBorder="0" applyAlignment="0" applyProtection="0"/>
  </cellStyleXfs>
  <cellXfs count="900">
    <xf numFmtId="0" fontId="0" fillId="0" borderId="0" xfId="0"/>
    <xf numFmtId="43" fontId="18" fillId="0" borderId="0" xfId="39" applyFont="1" applyFill="1" applyAlignment="1">
      <alignment vertical="center"/>
    </xf>
    <xf numFmtId="0" fontId="0" fillId="0" borderId="0" xfId="0" applyBorder="1" applyProtection="1"/>
    <xf numFmtId="0" fontId="0" fillId="0" borderId="0" xfId="0" applyProtection="1"/>
    <xf numFmtId="43" fontId="24" fillId="0" borderId="0" xfId="39" applyFont="1" applyFill="1" applyAlignment="1" applyProtection="1">
      <alignment vertical="center"/>
    </xf>
    <xf numFmtId="0" fontId="23" fillId="0" borderId="0" xfId="0" applyFont="1" applyProtection="1"/>
    <xf numFmtId="43" fontId="21" fillId="0" borderId="0" xfId="50" applyFont="1" applyFill="1" applyAlignment="1" applyProtection="1"/>
    <xf numFmtId="43" fontId="21" fillId="0" borderId="0" xfId="50" applyFont="1" applyFill="1" applyAlignment="1" applyProtection="1">
      <alignment horizontal="center"/>
    </xf>
    <xf numFmtId="43" fontId="21" fillId="0" borderId="0" xfId="50" applyFont="1" applyFill="1" applyAlignment="1" applyProtection="1">
      <alignment horizontal="right"/>
    </xf>
    <xf numFmtId="43" fontId="21" fillId="0" borderId="0" xfId="50" applyFont="1" applyFill="1" applyBorder="1" applyAlignment="1" applyProtection="1">
      <alignment horizontal="center"/>
    </xf>
    <xf numFmtId="43" fontId="130" fillId="0" borderId="0" xfId="49" applyProtection="1"/>
    <xf numFmtId="43" fontId="17" fillId="0" borderId="0" xfId="49" applyFont="1" applyProtection="1"/>
    <xf numFmtId="0" fontId="20" fillId="0" borderId="0" xfId="49" applyNumberFormat="1" applyFont="1" applyBorder="1" applyProtection="1"/>
    <xf numFmtId="43" fontId="130" fillId="0" borderId="0" xfId="51" applyProtection="1"/>
    <xf numFmtId="43" fontId="130" fillId="0" borderId="0" xfId="51" applyFill="1" applyBorder="1" applyAlignment="1" applyProtection="1">
      <alignment horizontal="left"/>
    </xf>
    <xf numFmtId="0" fontId="0" fillId="0" borderId="0" xfId="0" applyFill="1" applyBorder="1" applyProtection="1"/>
    <xf numFmtId="43" fontId="130" fillId="0" borderId="0" xfId="51" applyFill="1" applyBorder="1" applyProtection="1"/>
    <xf numFmtId="0" fontId="17" fillId="0" borderId="0" xfId="0" applyFont="1" applyProtection="1"/>
    <xf numFmtId="43" fontId="17" fillId="0" borderId="0" xfId="51" applyFont="1" applyProtection="1"/>
    <xf numFmtId="0" fontId="0" fillId="0" borderId="0" xfId="0" applyBorder="1"/>
    <xf numFmtId="0" fontId="0" fillId="0" borderId="0" xfId="0" applyFill="1" applyBorder="1"/>
    <xf numFmtId="0" fontId="36" fillId="0" borderId="0" xfId="0" applyFont="1"/>
    <xf numFmtId="15" fontId="31" fillId="0" borderId="0" xfId="0" applyNumberFormat="1" applyFont="1" applyFill="1" applyBorder="1" applyAlignment="1" applyProtection="1">
      <alignment horizontal="center" vertical="center" wrapText="1"/>
      <protection locked="0"/>
    </xf>
    <xf numFmtId="43" fontId="30" fillId="0" borderId="0" xfId="0" applyNumberFormat="1" applyFont="1"/>
    <xf numFmtId="43" fontId="30" fillId="0" borderId="0" xfId="0" applyNumberFormat="1" applyFont="1" applyAlignment="1">
      <alignment horizontal="right"/>
    </xf>
    <xf numFmtId="165" fontId="30" fillId="0" borderId="0" xfId="28" applyNumberFormat="1" applyFont="1" applyAlignment="1">
      <alignment horizontal="left"/>
    </xf>
    <xf numFmtId="43" fontId="18" fillId="0" borderId="0" xfId="48" applyFont="1" applyFill="1" applyAlignment="1">
      <alignment vertical="center"/>
    </xf>
    <xf numFmtId="0" fontId="0" fillId="0" borderId="10" xfId="0" applyBorder="1" applyAlignment="1">
      <alignment horizontal="center"/>
    </xf>
    <xf numFmtId="0" fontId="16" fillId="0" borderId="0" xfId="0" applyFont="1" applyBorder="1" applyAlignment="1">
      <alignment horizontal="center"/>
    </xf>
    <xf numFmtId="0" fontId="3" fillId="0" borderId="0" xfId="0" applyFont="1" applyBorder="1" applyAlignment="1"/>
    <xf numFmtId="0" fontId="3" fillId="0" borderId="0" xfId="0" applyFont="1" applyFill="1" applyBorder="1" applyAlignment="1"/>
    <xf numFmtId="0" fontId="45" fillId="0" borderId="0" xfId="0" applyFont="1"/>
    <xf numFmtId="0" fontId="45" fillId="0" borderId="0" xfId="0" applyFont="1" applyAlignment="1">
      <alignment horizontal="right"/>
    </xf>
    <xf numFmtId="0" fontId="45" fillId="0" borderId="0" xfId="0" applyFont="1" applyBorder="1"/>
    <xf numFmtId="0" fontId="48" fillId="0" borderId="0" xfId="0" applyFont="1"/>
    <xf numFmtId="0" fontId="45" fillId="0" borderId="0" xfId="0" applyNumberFormat="1" applyFont="1" applyBorder="1"/>
    <xf numFmtId="0" fontId="0" fillId="0" borderId="0" xfId="0" applyFill="1"/>
    <xf numFmtId="10" fontId="8" fillId="0" borderId="0" xfId="56" applyNumberFormat="1" applyFont="1" applyFill="1" applyBorder="1" applyAlignment="1">
      <alignment horizontal="center"/>
    </xf>
    <xf numFmtId="10" fontId="8" fillId="0" borderId="0" xfId="56" applyNumberFormat="1" applyFont="1" applyFill="1" applyBorder="1" applyAlignment="1" applyProtection="1">
      <alignment horizontal="center"/>
      <protection locked="0"/>
    </xf>
    <xf numFmtId="43" fontId="30" fillId="0" borderId="0" xfId="0" applyNumberFormat="1" applyFont="1" applyFill="1" applyBorder="1" applyAlignment="1"/>
    <xf numFmtId="43" fontId="130" fillId="0" borderId="0" xfId="61" applyFill="1" applyBorder="1" applyAlignment="1" applyProtection="1">
      <alignment vertical="center"/>
      <protection locked="0"/>
    </xf>
    <xf numFmtId="164" fontId="34" fillId="0" borderId="0" xfId="0" applyNumberFormat="1" applyFont="1" applyFill="1" applyBorder="1" applyAlignment="1">
      <alignment horizontal="center"/>
    </xf>
    <xf numFmtId="0" fontId="28" fillId="0" borderId="0" xfId="0" applyFont="1" applyFill="1" applyBorder="1" applyAlignment="1">
      <alignment horizontal="centerContinuous"/>
    </xf>
    <xf numFmtId="0" fontId="0" fillId="0" borderId="0" xfId="0" applyFill="1" applyBorder="1" applyAlignment="1">
      <alignment horizontal="centerContinuous"/>
    </xf>
    <xf numFmtId="43" fontId="41"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0" fillId="0" borderId="0" xfId="58" applyNumberFormat="1" applyFill="1" applyBorder="1" applyAlignment="1" applyProtection="1">
      <alignment horizontal="center"/>
      <protection locked="0"/>
    </xf>
    <xf numFmtId="0" fontId="17" fillId="0" borderId="0" xfId="0" applyFont="1" applyFill="1" applyBorder="1" applyAlignment="1" applyProtection="1">
      <alignment horizontal="center"/>
    </xf>
    <xf numFmtId="0" fontId="25" fillId="0" borderId="0" xfId="0" applyFont="1" applyFill="1" applyAlignment="1" applyProtection="1"/>
    <xf numFmtId="0" fontId="17" fillId="0" borderId="0" xfId="0" applyFont="1" applyAlignment="1" applyProtection="1">
      <alignment horizontal="left" indent="1"/>
    </xf>
    <xf numFmtId="0" fontId="20" fillId="0" borderId="0" xfId="0" applyFont="1" applyAlignment="1" applyProtection="1">
      <alignment horizontal="left" indent="1"/>
    </xf>
    <xf numFmtId="0" fontId="17" fillId="0" borderId="0" xfId="0" applyFont="1" applyFill="1" applyBorder="1" applyProtection="1"/>
    <xf numFmtId="43" fontId="71" fillId="0" borderId="0" xfId="49" applyFont="1" applyProtection="1"/>
    <xf numFmtId="43" fontId="71" fillId="0" borderId="0" xfId="51" applyFont="1" applyProtection="1"/>
    <xf numFmtId="0" fontId="71" fillId="0" borderId="10" xfId="0" applyFont="1" applyFill="1" applyBorder="1" applyAlignment="1" applyProtection="1">
      <alignment horizontal="center"/>
    </xf>
    <xf numFmtId="0" fontId="71" fillId="0" borderId="10" xfId="0" applyFont="1" applyFill="1" applyBorder="1" applyProtection="1"/>
    <xf numFmtId="43" fontId="71" fillId="0" borderId="10" xfId="51" applyFont="1" applyBorder="1" applyProtection="1"/>
    <xf numFmtId="0" fontId="72" fillId="0" borderId="10" xfId="0" applyFont="1" applyBorder="1" applyAlignment="1" applyProtection="1">
      <alignment horizontal="left" indent="1"/>
    </xf>
    <xf numFmtId="0" fontId="73" fillId="0" borderId="10" xfId="0" applyFont="1" applyBorder="1"/>
    <xf numFmtId="0" fontId="74" fillId="19" borderId="10" xfId="0" applyFont="1" applyFill="1" applyBorder="1" applyAlignment="1" applyProtection="1">
      <alignment horizontal="center"/>
    </xf>
    <xf numFmtId="0" fontId="74" fillId="19" borderId="10" xfId="0" applyFont="1" applyFill="1" applyBorder="1" applyAlignment="1">
      <alignment horizontal="center"/>
    </xf>
    <xf numFmtId="0" fontId="23" fillId="0" borderId="0" xfId="0" applyFont="1"/>
    <xf numFmtId="3" fontId="17" fillId="20" borderId="11" xfId="0" applyNumberFormat="1" applyFont="1" applyFill="1" applyBorder="1" applyAlignment="1">
      <alignment horizontal="right"/>
    </xf>
    <xf numFmtId="3" fontId="17" fillId="20" borderId="11" xfId="28" applyNumberFormat="1" applyFont="1" applyFill="1" applyBorder="1"/>
    <xf numFmtId="9" fontId="17" fillId="20" borderId="11" xfId="56" applyFont="1" applyFill="1" applyBorder="1"/>
    <xf numFmtId="9" fontId="17" fillId="20" borderId="11" xfId="56" applyNumberFormat="1" applyFont="1" applyFill="1" applyBorder="1"/>
    <xf numFmtId="0" fontId="17" fillId="20" borderId="11" xfId="0" applyFont="1" applyFill="1" applyBorder="1"/>
    <xf numFmtId="9" fontId="17" fillId="20" borderId="11" xfId="56" applyFont="1" applyFill="1" applyBorder="1" applyAlignment="1">
      <alignment horizontal="center"/>
    </xf>
    <xf numFmtId="0" fontId="17" fillId="0" borderId="0" xfId="0" applyFont="1"/>
    <xf numFmtId="0" fontId="35" fillId="0" borderId="0" xfId="0" applyFont="1" applyAlignment="1">
      <alignment horizontal="center"/>
    </xf>
    <xf numFmtId="43" fontId="63" fillId="0" borderId="0" xfId="48" applyFont="1" applyFill="1" applyAlignment="1">
      <alignment vertical="center"/>
    </xf>
    <xf numFmtId="0" fontId="16" fillId="0" borderId="0" xfId="0" applyFont="1"/>
    <xf numFmtId="0" fontId="48" fillId="0" borderId="0" xfId="0" applyFont="1" applyFill="1"/>
    <xf numFmtId="0" fontId="81" fillId="19" borderId="12" xfId="0" applyFont="1" applyFill="1" applyBorder="1" applyAlignment="1">
      <alignment vertical="center"/>
    </xf>
    <xf numFmtId="0" fontId="79" fillId="0" borderId="0" xfId="53" applyNumberFormat="1" applyFont="1" applyFill="1" applyBorder="1" applyAlignment="1">
      <alignment horizontal="center" vertical="center" wrapText="1"/>
    </xf>
    <xf numFmtId="0" fontId="79"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 fontId="84" fillId="20" borderId="0" xfId="0" applyNumberFormat="1" applyFont="1" applyFill="1" applyBorder="1" applyAlignment="1">
      <alignment horizontal="center"/>
    </xf>
    <xf numFmtId="0" fontId="84" fillId="0" borderId="0" xfId="0" applyFont="1" applyFill="1" applyBorder="1" applyAlignment="1" applyProtection="1">
      <alignment horizontal="left"/>
    </xf>
    <xf numFmtId="0" fontId="85" fillId="0" borderId="0" xfId="0" applyFont="1"/>
    <xf numFmtId="43" fontId="41"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3" fillId="0" borderId="14" xfId="61" applyFont="1" applyBorder="1" applyAlignment="1" applyProtection="1"/>
    <xf numFmtId="43" fontId="130" fillId="0" borderId="14" xfId="61" applyFill="1" applyBorder="1" applyAlignment="1" applyProtection="1">
      <alignment vertical="center"/>
    </xf>
    <xf numFmtId="43" fontId="5" fillId="0" borderId="14" xfId="61" applyFont="1" applyFill="1" applyBorder="1" applyAlignment="1" applyProtection="1">
      <alignment vertical="center"/>
    </xf>
    <xf numFmtId="43" fontId="33" fillId="0" borderId="0" xfId="61" applyFont="1" applyBorder="1" applyAlignment="1" applyProtection="1"/>
    <xf numFmtId="43" fontId="130" fillId="0" borderId="0" xfId="61" applyFill="1" applyBorder="1" applyAlignment="1" applyProtection="1">
      <alignment vertical="center"/>
    </xf>
    <xf numFmtId="43" fontId="5" fillId="0" borderId="0" xfId="61" applyFont="1" applyFill="1" applyBorder="1" applyAlignment="1" applyProtection="1">
      <alignment vertical="center"/>
    </xf>
    <xf numFmtId="0" fontId="34" fillId="0" borderId="15" xfId="0" applyFont="1" applyBorder="1" applyAlignment="1" applyProtection="1">
      <alignment horizontal="center"/>
    </xf>
    <xf numFmtId="15" fontId="34" fillId="0" borderId="16" xfId="0" applyNumberFormat="1" applyFont="1" applyBorder="1" applyAlignment="1" applyProtection="1">
      <alignment horizontal="center"/>
    </xf>
    <xf numFmtId="0" fontId="34" fillId="0" borderId="17" xfId="0" applyFont="1" applyBorder="1" applyAlignment="1" applyProtection="1">
      <alignment horizontal="center"/>
    </xf>
    <xf numFmtId="165" fontId="17" fillId="0" borderId="0" xfId="0" applyNumberFormat="1" applyFont="1" applyFill="1" applyBorder="1" applyAlignment="1" applyProtection="1"/>
    <xf numFmtId="10" fontId="8" fillId="0" borderId="0" xfId="56" applyNumberFormat="1" applyFont="1" applyFill="1" applyBorder="1" applyAlignment="1" applyProtection="1">
      <alignment horizontal="center"/>
    </xf>
    <xf numFmtId="0" fontId="8" fillId="0" borderId="0" xfId="0" applyFont="1" applyFill="1" applyBorder="1" applyAlignment="1" applyProtection="1"/>
    <xf numFmtId="0" fontId="28" fillId="0" borderId="0" xfId="0" applyFont="1" applyFill="1" applyBorder="1" applyAlignment="1" applyProtection="1">
      <alignment horizontal="centerContinuous" wrapText="1"/>
    </xf>
    <xf numFmtId="0" fontId="28"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8" fillId="0" borderId="18" xfId="0" applyNumberFormat="1" applyFont="1" applyFill="1" applyBorder="1" applyAlignment="1" applyProtection="1"/>
    <xf numFmtId="0" fontId="28" fillId="0" borderId="18" xfId="0" applyFont="1" applyFill="1" applyBorder="1" applyProtection="1"/>
    <xf numFmtId="0" fontId="28" fillId="0" borderId="19" xfId="0" applyFont="1" applyFill="1" applyBorder="1" applyProtection="1"/>
    <xf numFmtId="43" fontId="40" fillId="0" borderId="20" xfId="61" applyFont="1" applyBorder="1" applyAlignment="1" applyProtection="1"/>
    <xf numFmtId="43" fontId="41" fillId="0" borderId="20" xfId="61" applyFont="1" applyFill="1" applyBorder="1" applyAlignment="1" applyProtection="1">
      <alignment vertical="center"/>
    </xf>
    <xf numFmtId="43" fontId="41" fillId="0" borderId="20" xfId="61" applyFont="1" applyFill="1" applyBorder="1" applyAlignment="1" applyProtection="1">
      <alignment horizontal="center" vertical="center"/>
    </xf>
    <xf numFmtId="43" fontId="41" fillId="0" borderId="0" xfId="61" applyFont="1" applyFill="1" applyBorder="1" applyAlignment="1" applyProtection="1">
      <alignment vertical="center"/>
    </xf>
    <xf numFmtId="43" fontId="40" fillId="0" borderId="0" xfId="61" applyFont="1" applyBorder="1" applyAlignment="1" applyProtection="1"/>
    <xf numFmtId="43" fontId="42" fillId="0" borderId="0" xfId="61" applyFont="1" applyFill="1" applyBorder="1" applyAlignment="1" applyProtection="1">
      <alignment vertical="center"/>
    </xf>
    <xf numFmtId="0" fontId="16" fillId="0" borderId="0" xfId="0" applyFont="1" applyBorder="1" applyAlignment="1" applyProtection="1">
      <alignment horizontal="center"/>
    </xf>
    <xf numFmtId="0" fontId="0" fillId="0" borderId="21" xfId="0" applyBorder="1" applyAlignment="1" applyProtection="1">
      <alignment horizontal="center"/>
    </xf>
    <xf numFmtId="0" fontId="16" fillId="0" borderId="21" xfId="0" applyFont="1" applyBorder="1" applyAlignment="1" applyProtection="1">
      <alignment horizontal="center"/>
    </xf>
    <xf numFmtId="0" fontId="16" fillId="0" borderId="21" xfId="0" applyFont="1" applyBorder="1" applyAlignment="1" applyProtection="1">
      <alignment horizontal="center" wrapText="1"/>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1" fontId="23" fillId="20" borderId="24" xfId="0" applyNumberFormat="1" applyFont="1" applyFill="1" applyBorder="1" applyAlignment="1" applyProtection="1">
      <alignment horizontal="center"/>
    </xf>
    <xf numFmtId="0" fontId="16" fillId="0" borderId="25" xfId="0" applyFont="1" applyBorder="1" applyAlignment="1" applyProtection="1">
      <alignment horizontal="center"/>
    </xf>
    <xf numFmtId="1" fontId="23"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4" fillId="0" borderId="21" xfId="0" applyFont="1" applyBorder="1" applyAlignment="1" applyProtection="1">
      <alignment horizontal="center"/>
    </xf>
    <xf numFmtId="0" fontId="34" fillId="0" borderId="22" xfId="0" applyFont="1" applyBorder="1" applyAlignment="1" applyProtection="1">
      <alignment horizontal="center"/>
    </xf>
    <xf numFmtId="0" fontId="0" fillId="0" borderId="0" xfId="0" applyFill="1" applyBorder="1" applyAlignment="1" applyProtection="1">
      <alignment horizontal="center" wrapText="1"/>
    </xf>
    <xf numFmtId="43" fontId="96" fillId="0" borderId="0" xfId="28" applyFont="1" applyFill="1" applyBorder="1" applyProtection="1"/>
    <xf numFmtId="43" fontId="0" fillId="0" borderId="0" xfId="0" applyNumberFormat="1" applyFill="1" applyBorder="1" applyProtection="1"/>
    <xf numFmtId="43" fontId="70" fillId="0" borderId="28" xfId="61" applyFont="1" applyFill="1" applyBorder="1" applyAlignment="1" applyProtection="1"/>
    <xf numFmtId="43" fontId="41" fillId="0" borderId="28" xfId="61" applyFont="1" applyFill="1" applyBorder="1" applyAlignment="1" applyProtection="1">
      <alignment vertical="center"/>
    </xf>
    <xf numFmtId="0" fontId="69" fillId="0" borderId="29" xfId="0" applyFont="1" applyFill="1" applyBorder="1" applyProtection="1"/>
    <xf numFmtId="0" fontId="69" fillId="0" borderId="30" xfId="0" applyFont="1" applyFill="1" applyBorder="1" applyProtection="1"/>
    <xf numFmtId="43" fontId="30" fillId="0" borderId="0" xfId="0" applyNumberFormat="1" applyFont="1" applyAlignment="1" applyProtection="1">
      <alignment horizontal="right"/>
    </xf>
    <xf numFmtId="165" fontId="30" fillId="0" borderId="0" xfId="28" applyNumberFormat="1" applyFont="1" applyAlignment="1" applyProtection="1">
      <alignment horizontal="left"/>
    </xf>
    <xf numFmtId="15" fontId="30" fillId="0" borderId="0" xfId="0" applyNumberFormat="1" applyFont="1" applyAlignment="1" applyProtection="1">
      <alignment horizontal="left"/>
    </xf>
    <xf numFmtId="15" fontId="30" fillId="0" borderId="0" xfId="0" applyNumberFormat="1" applyFont="1" applyAlignment="1" applyProtection="1">
      <alignment horizontal="right"/>
    </xf>
    <xf numFmtId="43" fontId="30" fillId="0" borderId="0" xfId="0" applyNumberFormat="1" applyFont="1" applyProtection="1"/>
    <xf numFmtId="43" fontId="30" fillId="0" borderId="0" xfId="0" applyNumberFormat="1" applyFont="1" applyBorder="1" applyProtection="1"/>
    <xf numFmtId="43" fontId="30" fillId="0" borderId="0" xfId="0" applyNumberFormat="1" applyFont="1" applyBorder="1" applyAlignment="1" applyProtection="1">
      <alignment horizontal="right"/>
    </xf>
    <xf numFmtId="165" fontId="30" fillId="0" borderId="0" xfId="28" applyNumberFormat="1" applyFont="1" applyBorder="1" applyAlignment="1" applyProtection="1">
      <alignment horizontal="left"/>
    </xf>
    <xf numFmtId="0" fontId="21" fillId="0" borderId="0" xfId="0" applyFont="1" applyBorder="1" applyAlignment="1" applyProtection="1">
      <alignment horizontal="center"/>
    </xf>
    <xf numFmtId="0" fontId="21" fillId="0" borderId="0" xfId="0" applyFont="1" applyAlignment="1" applyProtection="1">
      <alignment horizontal="center"/>
    </xf>
    <xf numFmtId="0" fontId="36" fillId="0" borderId="0" xfId="0" applyFont="1" applyBorder="1" applyProtection="1"/>
    <xf numFmtId="0" fontId="36" fillId="0" borderId="10" xfId="0" applyFont="1" applyBorder="1" applyAlignment="1" applyProtection="1">
      <alignment horizontal="center" vertical="center" wrapText="1"/>
    </xf>
    <xf numFmtId="3" fontId="30" fillId="0" borderId="10" xfId="0" applyNumberFormat="1" applyFont="1" applyBorder="1" applyAlignment="1" applyProtection="1">
      <alignment vertical="center" wrapText="1"/>
    </xf>
    <xf numFmtId="15" fontId="28" fillId="0" borderId="0" xfId="0" applyNumberFormat="1" applyFont="1" applyFill="1" applyBorder="1" applyAlignment="1" applyProtection="1"/>
    <xf numFmtId="15" fontId="28" fillId="0" borderId="0" xfId="0" applyNumberFormat="1" applyFont="1" applyFill="1" applyBorder="1" applyAlignment="1" applyProtection="1">
      <alignment horizontal="center" wrapText="1"/>
    </xf>
    <xf numFmtId="0" fontId="28" fillId="0" borderId="0" xfId="0" applyFont="1" applyFill="1" applyBorder="1" applyProtection="1"/>
    <xf numFmtId="0" fontId="0" fillId="0" borderId="0" xfId="0" applyFill="1" applyBorder="1" applyAlignment="1" applyProtection="1">
      <alignment horizontal="center"/>
    </xf>
    <xf numFmtId="0" fontId="28" fillId="0" borderId="0" xfId="0" applyFont="1" applyFill="1" applyBorder="1" applyAlignment="1" applyProtection="1"/>
    <xf numFmtId="0" fontId="0" fillId="0" borderId="22" xfId="0" applyBorder="1" applyAlignment="1" applyProtection="1">
      <alignment horizontal="center" wrapText="1"/>
    </xf>
    <xf numFmtId="0" fontId="45" fillId="0" borderId="0" xfId="0" applyFont="1" applyProtection="1"/>
    <xf numFmtId="0" fontId="45" fillId="0" borderId="0" xfId="0" applyFont="1" applyAlignment="1" applyProtection="1">
      <alignment horizontal="right"/>
    </xf>
    <xf numFmtId="0" fontId="45" fillId="0" borderId="0" xfId="0" applyFont="1" applyBorder="1" applyProtection="1"/>
    <xf numFmtId="0" fontId="47" fillId="0" borderId="0" xfId="0" applyFont="1" applyBorder="1" applyAlignment="1" applyProtection="1">
      <alignment horizontal="left" vertical="center"/>
    </xf>
    <xf numFmtId="0" fontId="47" fillId="0" borderId="0" xfId="0" applyFont="1" applyBorder="1" applyAlignment="1" applyProtection="1">
      <alignment horizontal="left"/>
    </xf>
    <xf numFmtId="166" fontId="47" fillId="0" borderId="0" xfId="0" applyNumberFormat="1" applyFont="1" applyBorder="1" applyAlignment="1" applyProtection="1">
      <alignment horizontal="left"/>
    </xf>
    <xf numFmtId="0" fontId="48" fillId="0" borderId="0" xfId="0" applyFont="1" applyProtection="1"/>
    <xf numFmtId="0" fontId="49" fillId="0" borderId="0" xfId="0" applyFont="1" applyFill="1" applyBorder="1" applyProtection="1"/>
    <xf numFmtId="0" fontId="50" fillId="0" borderId="0" xfId="0" applyFont="1" applyFill="1" applyBorder="1" applyProtection="1"/>
    <xf numFmtId="0" fontId="52" fillId="0" borderId="0" xfId="0" applyFont="1" applyFill="1" applyBorder="1" applyAlignment="1" applyProtection="1">
      <alignment horizontal="right"/>
    </xf>
    <xf numFmtId="0" fontId="53" fillId="0" borderId="0" xfId="0" applyFont="1" applyFill="1" applyBorder="1" applyAlignment="1" applyProtection="1">
      <alignment horizontal="center"/>
    </xf>
    <xf numFmtId="0" fontId="36" fillId="0" borderId="0" xfId="0" applyFont="1" applyBorder="1" applyAlignment="1" applyProtection="1">
      <alignment horizontal="center" vertical="center"/>
    </xf>
    <xf numFmtId="0" fontId="54" fillId="20" borderId="0" xfId="0" applyFont="1" applyFill="1" applyBorder="1" applyAlignment="1" applyProtection="1">
      <alignment horizontal="left" vertical="center"/>
    </xf>
    <xf numFmtId="3" fontId="59" fillId="0" borderId="0" xfId="0" applyNumberFormat="1" applyFont="1" applyFill="1" applyBorder="1" applyAlignment="1" applyProtection="1">
      <alignment horizontal="right" vertical="center"/>
    </xf>
    <xf numFmtId="0" fontId="60" fillId="20" borderId="0" xfId="0" applyFont="1" applyFill="1" applyBorder="1" applyAlignment="1" applyProtection="1">
      <alignment horizontal="left" vertical="center"/>
    </xf>
    <xf numFmtId="168" fontId="54" fillId="20" borderId="0" xfId="0" applyNumberFormat="1" applyFont="1" applyFill="1" applyBorder="1" applyAlignment="1" applyProtection="1">
      <alignment vertical="center"/>
    </xf>
    <xf numFmtId="0" fontId="55" fillId="20" borderId="0" xfId="0" applyNumberFormat="1" applyFont="1" applyFill="1" applyBorder="1" applyAlignment="1" applyProtection="1">
      <alignment horizontal="right"/>
    </xf>
    <xf numFmtId="0" fontId="65" fillId="20" borderId="0" xfId="0" applyFont="1" applyFill="1" applyBorder="1" applyAlignment="1" applyProtection="1">
      <alignment horizontal="center" vertical="center"/>
    </xf>
    <xf numFmtId="0" fontId="56" fillId="20" borderId="0" xfId="0" applyFont="1" applyFill="1" applyBorder="1" applyAlignment="1" applyProtection="1">
      <alignment horizontal="center" vertical="center"/>
    </xf>
    <xf numFmtId="167" fontId="54" fillId="20" borderId="0" xfId="56" applyNumberFormat="1" applyFont="1" applyFill="1" applyBorder="1" applyAlignment="1" applyProtection="1">
      <alignment horizontal="right"/>
    </xf>
    <xf numFmtId="9" fontId="57" fillId="20" borderId="0" xfId="0" applyNumberFormat="1" applyFont="1" applyFill="1" applyBorder="1" applyProtection="1"/>
    <xf numFmtId="0" fontId="58" fillId="20" borderId="0" xfId="0" applyFont="1" applyFill="1" applyBorder="1" applyAlignment="1" applyProtection="1">
      <alignment horizontal="center" vertical="center"/>
    </xf>
    <xf numFmtId="9" fontId="57" fillId="20" borderId="0" xfId="0" applyNumberFormat="1" applyFont="1" applyFill="1" applyBorder="1" applyAlignment="1" applyProtection="1">
      <alignment horizontal="left"/>
    </xf>
    <xf numFmtId="0" fontId="66"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horizontal="right" vertical="center" indent="1"/>
    </xf>
    <xf numFmtId="0" fontId="55" fillId="0" borderId="31" xfId="0" applyNumberFormat="1" applyFont="1" applyFill="1" applyBorder="1" applyAlignment="1" applyProtection="1">
      <alignment horizontal="right"/>
    </xf>
    <xf numFmtId="0" fontId="55" fillId="0" borderId="32" xfId="0" applyNumberFormat="1" applyFont="1" applyFill="1" applyBorder="1" applyAlignment="1" applyProtection="1">
      <alignment horizontal="right"/>
    </xf>
    <xf numFmtId="0" fontId="55" fillId="0" borderId="33" xfId="0" applyNumberFormat="1" applyFont="1" applyFill="1" applyBorder="1" applyAlignment="1" applyProtection="1">
      <alignment horizontal="right"/>
    </xf>
    <xf numFmtId="0" fontId="64" fillId="0" borderId="0" xfId="0" applyFont="1" applyFill="1" applyBorder="1" applyAlignment="1" applyProtection="1">
      <alignment horizontal="center"/>
    </xf>
    <xf numFmtId="0" fontId="55" fillId="0" borderId="0" xfId="0" applyNumberFormat="1" applyFont="1" applyFill="1" applyBorder="1" applyAlignment="1" applyProtection="1">
      <alignment horizontal="right"/>
    </xf>
    <xf numFmtId="0" fontId="65" fillId="0" borderId="0" xfId="0" applyFont="1" applyFill="1" applyBorder="1" applyAlignment="1" applyProtection="1">
      <alignment horizontal="center" vertical="center"/>
    </xf>
    <xf numFmtId="9" fontId="68" fillId="0" borderId="0" xfId="0" applyNumberFormat="1" applyFont="1" applyFill="1" applyBorder="1" applyAlignment="1" applyProtection="1"/>
    <xf numFmtId="9" fontId="68" fillId="0" borderId="0" xfId="0" applyNumberFormat="1" applyFont="1" applyFill="1" applyBorder="1" applyAlignment="1" applyProtection="1">
      <alignment horizontal="center"/>
    </xf>
    <xf numFmtId="0" fontId="55" fillId="0" borderId="34" xfId="0" applyNumberFormat="1" applyFont="1" applyFill="1" applyBorder="1" applyAlignment="1" applyProtection="1">
      <alignment horizontal="right"/>
    </xf>
    <xf numFmtId="9" fontId="57" fillId="0" borderId="0" xfId="0" applyNumberFormat="1" applyFont="1" applyFill="1" applyBorder="1" applyProtection="1"/>
    <xf numFmtId="0" fontId="55" fillId="0" borderId="35" xfId="0" applyNumberFormat="1" applyFont="1" applyFill="1" applyBorder="1" applyAlignment="1" applyProtection="1">
      <alignment horizontal="right"/>
    </xf>
    <xf numFmtId="0" fontId="55" fillId="0" borderId="36" xfId="0" applyNumberFormat="1" applyFont="1" applyFill="1" applyBorder="1" applyAlignment="1" applyProtection="1">
      <alignment horizontal="right"/>
    </xf>
    <xf numFmtId="0" fontId="36" fillId="0" borderId="37" xfId="0" applyNumberFormat="1" applyFont="1" applyFill="1" applyBorder="1" applyAlignment="1" applyProtection="1">
      <alignment vertical="center"/>
    </xf>
    <xf numFmtId="0" fontId="36" fillId="0" borderId="38" xfId="0" applyNumberFormat="1" applyFont="1" applyFill="1" applyBorder="1" applyAlignment="1" applyProtection="1">
      <alignment vertical="center"/>
    </xf>
    <xf numFmtId="0" fontId="36" fillId="0" borderId="39" xfId="0" applyNumberFormat="1" applyFont="1" applyFill="1" applyBorder="1" applyAlignment="1" applyProtection="1">
      <alignment vertical="center"/>
    </xf>
    <xf numFmtId="0" fontId="46" fillId="0" borderId="0" xfId="0" applyFont="1" applyProtection="1"/>
    <xf numFmtId="0" fontId="67" fillId="0" borderId="0" xfId="0" applyFont="1" applyProtection="1"/>
    <xf numFmtId="0" fontId="61" fillId="0" borderId="0" xfId="0" applyFont="1" applyProtection="1"/>
    <xf numFmtId="0" fontId="75" fillId="0" borderId="0" xfId="0" applyFont="1" applyBorder="1" applyAlignment="1" applyProtection="1">
      <alignment wrapText="1"/>
    </xf>
    <xf numFmtId="0" fontId="71" fillId="0" borderId="0" xfId="0" applyFont="1" applyFill="1" applyBorder="1" applyAlignment="1" applyProtection="1"/>
    <xf numFmtId="43" fontId="17" fillId="0" borderId="0" xfId="0" applyNumberFormat="1" applyFont="1"/>
    <xf numFmtId="0" fontId="30" fillId="0" borderId="0" xfId="0" applyNumberFormat="1" applyFont="1" applyAlignment="1" applyProtection="1">
      <alignment horizontal="center"/>
    </xf>
    <xf numFmtId="0" fontId="30" fillId="0" borderId="0" xfId="0" applyFont="1" applyAlignment="1" applyProtection="1">
      <alignment horizontal="center"/>
    </xf>
    <xf numFmtId="15" fontId="30"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9" fillId="0" borderId="0" xfId="0" applyNumberFormat="1" applyFont="1" applyBorder="1" applyProtection="1"/>
    <xf numFmtId="43" fontId="39" fillId="0" borderId="0" xfId="0" applyNumberFormat="1" applyFont="1" applyProtection="1"/>
    <xf numFmtId="165" fontId="8" fillId="0" borderId="0" xfId="28" applyNumberFormat="1" applyFont="1" applyFill="1" applyBorder="1" applyAlignment="1" applyProtection="1">
      <protection locked="0"/>
    </xf>
    <xf numFmtId="165" fontId="8" fillId="0" borderId="0" xfId="28" applyNumberFormat="1" applyFont="1" applyFill="1" applyBorder="1" applyProtection="1">
      <protection locked="0"/>
    </xf>
    <xf numFmtId="0" fontId="0" fillId="0" borderId="0" xfId="0" applyBorder="1" applyAlignment="1">
      <alignment horizontal="center"/>
    </xf>
    <xf numFmtId="0" fontId="17" fillId="20" borderId="0" xfId="0" applyFont="1" applyFill="1"/>
    <xf numFmtId="164" fontId="17" fillId="20" borderId="0" xfId="0" applyNumberFormat="1" applyFont="1" applyFill="1"/>
    <xf numFmtId="165" fontId="17" fillId="20" borderId="0" xfId="0" applyNumberFormat="1" applyFont="1" applyFill="1"/>
    <xf numFmtId="3" fontId="17" fillId="20" borderId="0" xfId="0" applyNumberFormat="1" applyFont="1" applyFill="1" applyProtection="1"/>
    <xf numFmtId="164" fontId="17" fillId="20" borderId="0" xfId="0" applyNumberFormat="1" applyFont="1" applyFill="1" applyProtection="1"/>
    <xf numFmtId="0" fontId="36" fillId="0" borderId="0" xfId="0" applyFont="1" applyFill="1" applyAlignment="1" applyProtection="1">
      <alignment horizontal="left"/>
      <protection locked="0"/>
    </xf>
    <xf numFmtId="0" fontId="36" fillId="0" borderId="0" xfId="0" applyFont="1" applyFill="1" applyBorder="1" applyAlignment="1" applyProtection="1">
      <alignment horizontal="left"/>
      <protection locked="0"/>
    </xf>
    <xf numFmtId="0" fontId="30" fillId="0" borderId="0" xfId="0" applyFont="1" applyFill="1" applyBorder="1" applyAlignment="1">
      <alignment vertical="center" wrapText="1"/>
    </xf>
    <xf numFmtId="0" fontId="30" fillId="0" borderId="0" xfId="0" applyFont="1" applyFill="1" applyBorder="1" applyAlignment="1">
      <alignment horizontal="center"/>
    </xf>
    <xf numFmtId="0" fontId="0" fillId="20" borderId="0" xfId="0" applyFill="1" applyBorder="1" applyAlignment="1">
      <alignment horizontal="center"/>
    </xf>
    <xf numFmtId="0" fontId="30" fillId="0" borderId="40" xfId="0" applyFont="1" applyFill="1" applyBorder="1" applyAlignment="1" applyProtection="1">
      <alignment horizontal="center" wrapText="1"/>
    </xf>
    <xf numFmtId="0" fontId="30" fillId="0" borderId="41" xfId="0" applyFont="1" applyFill="1" applyBorder="1" applyAlignment="1" applyProtection="1">
      <alignment horizontal="center" wrapText="1"/>
    </xf>
    <xf numFmtId="0" fontId="0" fillId="0" borderId="41" xfId="0" applyBorder="1" applyProtection="1"/>
    <xf numFmtId="43" fontId="19" fillId="0" borderId="0" xfId="47" applyFont="1" applyFill="1" applyAlignment="1" applyProtection="1">
      <alignment horizontal="center" vertical="center"/>
    </xf>
    <xf numFmtId="43" fontId="18" fillId="0" borderId="0" xfId="47" applyFont="1" applyFill="1" applyAlignment="1" applyProtection="1">
      <alignment vertical="center"/>
    </xf>
    <xf numFmtId="0" fontId="86" fillId="0" borderId="0" xfId="0" applyFont="1"/>
    <xf numFmtId="43" fontId="16" fillId="0" borderId="0" xfId="0" applyNumberFormat="1" applyFont="1" applyAlignment="1" applyProtection="1">
      <alignment horizontal="center"/>
    </xf>
    <xf numFmtId="0" fontId="14" fillId="0" borderId="0" xfId="0" applyFont="1"/>
    <xf numFmtId="0" fontId="0" fillId="20" borderId="0" xfId="0" applyFill="1" applyProtection="1"/>
    <xf numFmtId="0" fontId="0" fillId="20" borderId="42" xfId="0" applyFill="1" applyBorder="1" applyProtection="1"/>
    <xf numFmtId="43" fontId="89" fillId="0" borderId="0" xfId="0" applyNumberFormat="1" applyFont="1"/>
    <xf numFmtId="0" fontId="89" fillId="0" borderId="0" xfId="0" applyFont="1"/>
    <xf numFmtId="43" fontId="0" fillId="0" borderId="0" xfId="0" quotePrefix="1" applyNumberFormat="1"/>
    <xf numFmtId="43" fontId="0" fillId="0" borderId="0" xfId="0" applyNumberFormat="1"/>
    <xf numFmtId="0" fontId="36" fillId="0" borderId="43" xfId="0" applyNumberFormat="1" applyFont="1" applyFill="1" applyBorder="1" applyAlignment="1" applyProtection="1">
      <alignment vertical="center"/>
    </xf>
    <xf numFmtId="43" fontId="130" fillId="0" borderId="0" xfId="52" applyFill="1" applyBorder="1" applyAlignment="1" applyProtection="1">
      <alignment horizontal="center"/>
    </xf>
    <xf numFmtId="0" fontId="36" fillId="0" borderId="0" xfId="0" quotePrefix="1" applyFont="1" applyProtection="1"/>
    <xf numFmtId="43" fontId="91" fillId="0" borderId="28" xfId="61" applyFont="1" applyFill="1" applyBorder="1" applyAlignment="1" applyProtection="1"/>
    <xf numFmtId="43" fontId="11" fillId="0" borderId="28" xfId="61" applyFont="1" applyFill="1" applyBorder="1" applyAlignment="1" applyProtection="1">
      <alignment vertical="center"/>
    </xf>
    <xf numFmtId="3" fontId="69" fillId="22" borderId="10" xfId="0" applyNumberFormat="1" applyFont="1" applyFill="1" applyBorder="1" applyAlignment="1" applyProtection="1">
      <alignment vertical="center"/>
      <protection locked="0"/>
    </xf>
    <xf numFmtId="0" fontId="69" fillId="23" borderId="10" xfId="0" applyFont="1" applyFill="1" applyBorder="1" applyProtection="1"/>
    <xf numFmtId="0" fontId="4" fillId="0" borderId="44" xfId="0" applyFont="1" applyFill="1" applyBorder="1" applyAlignment="1" applyProtection="1">
      <alignment horizontal="center"/>
    </xf>
    <xf numFmtId="0" fontId="69" fillId="0" borderId="10" xfId="0" applyFont="1" applyFill="1" applyBorder="1" applyAlignment="1" applyProtection="1">
      <alignment horizontal="center"/>
    </xf>
    <xf numFmtId="0" fontId="69" fillId="23" borderId="10" xfId="0" applyFont="1" applyFill="1" applyBorder="1" applyAlignment="1" applyProtection="1">
      <alignment horizontal="center"/>
    </xf>
    <xf numFmtId="0" fontId="3" fillId="0" borderId="0" xfId="0" applyFont="1"/>
    <xf numFmtId="0" fontId="92" fillId="0" borderId="0" xfId="0" applyFont="1"/>
    <xf numFmtId="43" fontId="93" fillId="0" borderId="28" xfId="61" applyFont="1" applyFill="1" applyBorder="1" applyAlignment="1" applyProtection="1">
      <alignment vertical="center"/>
    </xf>
    <xf numFmtId="15" fontId="38" fillId="0" borderId="0" xfId="0" applyNumberFormat="1" applyFont="1" applyAlignment="1" applyProtection="1">
      <alignment horizontal="center"/>
    </xf>
    <xf numFmtId="1" fontId="23" fillId="24" borderId="10" xfId="0" applyNumberFormat="1" applyFont="1" applyFill="1" applyBorder="1" applyAlignment="1" applyProtection="1">
      <alignment horizontal="center"/>
      <protection locked="0"/>
    </xf>
    <xf numFmtId="1" fontId="23" fillId="24" borderId="45"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43" fontId="22" fillId="0" borderId="0" xfId="50" applyFont="1" applyFill="1" applyAlignment="1" applyProtection="1">
      <alignment horizontal="right" vertical="center"/>
    </xf>
    <xf numFmtId="0" fontId="98" fillId="0" borderId="0" xfId="0" applyFont="1" applyFill="1" applyBorder="1" applyAlignment="1" applyProtection="1">
      <alignment horizontal="right"/>
    </xf>
    <xf numFmtId="43" fontId="99" fillId="0" borderId="14" xfId="61" applyFont="1" applyFill="1" applyBorder="1" applyAlignment="1" applyProtection="1">
      <alignment horizontal="left" vertical="center"/>
    </xf>
    <xf numFmtId="0" fontId="100" fillId="0" borderId="0" xfId="0" applyFont="1" applyFill="1" applyBorder="1" applyProtection="1"/>
    <xf numFmtId="0" fontId="98" fillId="0" borderId="0" xfId="0" applyFont="1" applyBorder="1" applyProtection="1"/>
    <xf numFmtId="3" fontId="8" fillId="0" borderId="0" xfId="0" applyNumberFormat="1" applyFont="1" applyAlignment="1" applyProtection="1">
      <alignment horizontal="right"/>
    </xf>
    <xf numFmtId="15" fontId="97" fillId="0" borderId="0" xfId="0" applyNumberFormat="1" applyFont="1" applyFill="1" applyBorder="1" applyAlignment="1" applyProtection="1">
      <alignment horizontal="left"/>
    </xf>
    <xf numFmtId="0" fontId="103" fillId="0" borderId="0" xfId="0" applyFont="1" applyFill="1" applyBorder="1" applyAlignment="1" applyProtection="1">
      <alignment horizontal="center" wrapText="1"/>
    </xf>
    <xf numFmtId="0" fontId="98" fillId="0" borderId="0" xfId="0" applyFont="1" applyFill="1" applyBorder="1" applyAlignment="1" applyProtection="1">
      <alignment horizontal="center"/>
    </xf>
    <xf numFmtId="3" fontId="4" fillId="22" borderId="10" xfId="0" applyNumberFormat="1" applyFont="1" applyFill="1" applyBorder="1" applyAlignment="1" applyProtection="1">
      <alignment vertical="center"/>
      <protection locked="0"/>
    </xf>
    <xf numFmtId="0" fontId="0" fillId="0" borderId="0" xfId="0" quotePrefix="1" applyProtection="1"/>
    <xf numFmtId="15" fontId="34" fillId="0" borderId="46" xfId="0" applyNumberFormat="1" applyFont="1" applyBorder="1" applyAlignment="1" applyProtection="1">
      <alignment horizontal="center"/>
    </xf>
    <xf numFmtId="15" fontId="31" fillId="0" borderId="0" xfId="0" applyNumberFormat="1" applyFont="1" applyFill="1" applyBorder="1" applyAlignment="1" applyProtection="1">
      <alignment horizontal="center" vertical="center" wrapText="1"/>
    </xf>
    <xf numFmtId="0" fontId="79" fillId="0" borderId="47" xfId="0" applyFont="1" applyFill="1" applyBorder="1" applyAlignment="1" applyProtection="1">
      <alignment horizontal="center" vertical="center"/>
    </xf>
    <xf numFmtId="0" fontId="111" fillId="0" borderId="0" xfId="0" applyFont="1" applyBorder="1" applyAlignment="1" applyProtection="1">
      <alignment horizontal="right"/>
    </xf>
    <xf numFmtId="0" fontId="111" fillId="0" borderId="0" xfId="0" applyFont="1" applyAlignment="1" applyProtection="1">
      <alignment horizontal="right"/>
    </xf>
    <xf numFmtId="0" fontId="111" fillId="0" borderId="48" xfId="0" applyFont="1" applyBorder="1" applyAlignment="1" applyProtection="1">
      <alignment horizontal="right"/>
    </xf>
    <xf numFmtId="43" fontId="110" fillId="0" borderId="0" xfId="39" applyFont="1" applyFill="1" applyAlignment="1" applyProtection="1">
      <alignment vertical="center"/>
    </xf>
    <xf numFmtId="0" fontId="111" fillId="0" borderId="0" xfId="0" applyFont="1" applyProtection="1"/>
    <xf numFmtId="0" fontId="111"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98" fillId="0" borderId="0" xfId="0" applyNumberFormat="1" applyFont="1" applyFill="1" applyBorder="1" applyAlignment="1" applyProtection="1">
      <alignment horizontal="center"/>
    </xf>
    <xf numFmtId="0" fontId="0" fillId="0" borderId="0" xfId="0" applyFill="1" applyBorder="1" applyProtection="1">
      <protection locked="0"/>
    </xf>
    <xf numFmtId="0" fontId="95" fillId="0" borderId="0" xfId="0" applyFont="1" applyFill="1" applyBorder="1" applyAlignment="1" applyProtection="1">
      <alignment horizontal="center" vertical="center"/>
    </xf>
    <xf numFmtId="0" fontId="8" fillId="0" borderId="49" xfId="0" applyFont="1" applyBorder="1" applyAlignment="1" applyProtection="1"/>
    <xf numFmtId="0" fontId="8" fillId="0" borderId="50" xfId="0" applyFont="1" applyBorder="1" applyAlignment="1" applyProtection="1"/>
    <xf numFmtId="0" fontId="27" fillId="0" borderId="51" xfId="0" applyFont="1" applyBorder="1" applyAlignment="1" applyProtection="1">
      <alignment vertical="distributed"/>
    </xf>
    <xf numFmtId="15" fontId="29" fillId="0" borderId="52" xfId="0" applyNumberFormat="1" applyFont="1" applyFill="1" applyBorder="1" applyAlignment="1" applyProtection="1">
      <alignment horizontal="center" vertical="center" wrapText="1"/>
    </xf>
    <xf numFmtId="0" fontId="8" fillId="0" borderId="0" xfId="0" applyFont="1" applyFill="1" applyBorder="1" applyAlignment="1" applyProtection="1">
      <protection locked="0"/>
    </xf>
    <xf numFmtId="0" fontId="106" fillId="0" borderId="0" xfId="0" applyFont="1" applyFill="1" applyBorder="1" applyAlignment="1" applyProtection="1">
      <alignment horizontal="left"/>
      <protection locked="0"/>
    </xf>
    <xf numFmtId="0" fontId="28" fillId="0" borderId="53" xfId="0" applyFont="1" applyFill="1" applyBorder="1" applyAlignment="1" applyProtection="1"/>
    <xf numFmtId="15" fontId="28" fillId="0" borderId="10" xfId="0" applyNumberFormat="1" applyFont="1" applyFill="1" applyBorder="1" applyAlignment="1" applyProtection="1">
      <alignment horizontal="center"/>
    </xf>
    <xf numFmtId="15" fontId="28" fillId="0" borderId="54" xfId="0" applyNumberFormat="1" applyFont="1" applyFill="1" applyBorder="1" applyAlignment="1" applyProtection="1">
      <alignment horizontal="center"/>
    </xf>
    <xf numFmtId="0" fontId="34" fillId="25" borderId="55" xfId="0" applyFont="1" applyFill="1" applyBorder="1" applyAlignment="1" applyProtection="1">
      <alignment horizontal="centerContinuous"/>
    </xf>
    <xf numFmtId="15" fontId="107" fillId="0" borderId="41" xfId="0" applyNumberFormat="1" applyFont="1" applyFill="1" applyBorder="1" applyAlignment="1" applyProtection="1">
      <alignment horizontal="center" wrapText="1"/>
    </xf>
    <xf numFmtId="15" fontId="107" fillId="0" borderId="56" xfId="0" applyNumberFormat="1" applyFont="1" applyFill="1" applyBorder="1" applyAlignment="1" applyProtection="1">
      <alignment horizontal="center" wrapText="1"/>
    </xf>
    <xf numFmtId="0" fontId="39" fillId="0" borderId="53" xfId="0" applyFont="1" applyFill="1" applyBorder="1" applyAlignment="1" applyProtection="1">
      <alignment horizontal="center"/>
    </xf>
    <xf numFmtId="0" fontId="39" fillId="0" borderId="57" xfId="0" applyFont="1" applyFill="1" applyBorder="1" applyAlignment="1" applyProtection="1">
      <alignment horizontal="center"/>
    </xf>
    <xf numFmtId="0" fontId="34" fillId="25" borderId="58"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7" fillId="0" borderId="0" xfId="0" applyFont="1" applyFill="1" applyBorder="1" applyAlignment="1" applyProtection="1">
      <alignment horizontal="center"/>
    </xf>
    <xf numFmtId="0" fontId="102"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5" xfId="0" applyNumberFormat="1" applyFill="1" applyBorder="1" applyAlignment="1" applyProtection="1">
      <alignment horizontal="center"/>
      <protection locked="0"/>
    </xf>
    <xf numFmtId="0" fontId="0" fillId="0" borderId="59" xfId="0" applyBorder="1" applyAlignment="1" applyProtection="1">
      <alignment horizontal="center"/>
    </xf>
    <xf numFmtId="0" fontId="0" fillId="0" borderId="53" xfId="0" applyBorder="1" applyAlignment="1" applyProtection="1">
      <alignment horizontal="center" wrapText="1"/>
    </xf>
    <xf numFmtId="0" fontId="0" fillId="0" borderId="41" xfId="0" applyFill="1" applyBorder="1" applyAlignment="1" applyProtection="1">
      <alignment horizontal="center"/>
    </xf>
    <xf numFmtId="0" fontId="3" fillId="0" borderId="40" xfId="0" applyFont="1" applyFill="1" applyBorder="1" applyAlignment="1" applyProtection="1">
      <alignment horizontal="center" wrapText="1"/>
    </xf>
    <xf numFmtId="0" fontId="30" fillId="0" borderId="40" xfId="0" applyFont="1" applyBorder="1" applyAlignment="1">
      <alignment horizontal="center" wrapText="1"/>
    </xf>
    <xf numFmtId="3" fontId="69" fillId="22" borderId="60" xfId="0" applyNumberFormat="1" applyFont="1" applyFill="1" applyBorder="1" applyAlignment="1" applyProtection="1">
      <alignment vertical="center"/>
      <protection locked="0"/>
    </xf>
    <xf numFmtId="0" fontId="69" fillId="0" borderId="61" xfId="0" applyFont="1" applyFill="1" applyBorder="1" applyAlignment="1" applyProtection="1">
      <alignment horizontal="center"/>
    </xf>
    <xf numFmtId="0" fontId="79" fillId="0" borderId="62" xfId="0" applyFont="1" applyFill="1" applyBorder="1" applyAlignment="1" applyProtection="1">
      <alignment horizontal="center" vertical="center"/>
    </xf>
    <xf numFmtId="43" fontId="112" fillId="0" borderId="20" xfId="61" applyFont="1" applyFill="1" applyBorder="1" applyAlignment="1" applyProtection="1">
      <alignment vertical="center"/>
    </xf>
    <xf numFmtId="0" fontId="26" fillId="0" borderId="0" xfId="0" applyFont="1" applyProtection="1"/>
    <xf numFmtId="0" fontId="0" fillId="0" borderId="10" xfId="0" applyBorder="1" applyAlignment="1" applyProtection="1">
      <alignment horizontal="center"/>
    </xf>
    <xf numFmtId="43" fontId="107" fillId="0" borderId="0" xfId="0" applyNumberFormat="1" applyFont="1" applyBorder="1" applyAlignment="1" applyProtection="1">
      <alignment vertical="center" wrapText="1"/>
    </xf>
    <xf numFmtId="0" fontId="107" fillId="0" borderId="0" xfId="0" applyFont="1" applyFill="1" applyBorder="1" applyAlignment="1" applyProtection="1">
      <alignment wrapText="1"/>
    </xf>
    <xf numFmtId="0" fontId="30" fillId="0" borderId="63" xfId="0" applyFont="1" applyFill="1" applyBorder="1" applyAlignment="1" applyProtection="1">
      <alignment wrapText="1"/>
    </xf>
    <xf numFmtId="0" fontId="36" fillId="0" borderId="64" xfId="0" applyFont="1" applyFill="1" applyBorder="1" applyAlignment="1" applyProtection="1">
      <alignment horizontal="center" wrapText="1"/>
    </xf>
    <xf numFmtId="0" fontId="23" fillId="20" borderId="29" xfId="0" applyFont="1" applyFill="1" applyBorder="1" applyAlignment="1" applyProtection="1"/>
    <xf numFmtId="0" fontId="23" fillId="20" borderId="65" xfId="0" applyFont="1" applyFill="1" applyBorder="1" applyAlignment="1" applyProtection="1"/>
    <xf numFmtId="0" fontId="30" fillId="0" borderId="0" xfId="0" applyFont="1" applyFill="1" applyBorder="1" applyAlignment="1" applyProtection="1">
      <alignment wrapText="1"/>
    </xf>
    <xf numFmtId="1" fontId="0" fillId="20" borderId="10" xfId="0" applyNumberFormat="1" applyFill="1" applyBorder="1" applyAlignment="1" applyProtection="1">
      <alignment horizontal="center"/>
    </xf>
    <xf numFmtId="1" fontId="0" fillId="20" borderId="66" xfId="0" applyNumberFormat="1" applyFill="1" applyBorder="1" applyAlignment="1" applyProtection="1">
      <alignment horizontal="center"/>
    </xf>
    <xf numFmtId="0" fontId="0" fillId="0" borderId="66" xfId="0" applyBorder="1" applyAlignment="1" applyProtection="1">
      <alignment horizontal="center"/>
    </xf>
    <xf numFmtId="9" fontId="109" fillId="26" borderId="10" xfId="56" applyFont="1" applyFill="1" applyBorder="1" applyAlignment="1" applyProtection="1">
      <alignment horizontal="center" vertical="center" wrapText="1"/>
    </xf>
    <xf numFmtId="43" fontId="30" fillId="0" borderId="0" xfId="0" applyNumberFormat="1" applyFont="1" applyAlignment="1" applyProtection="1"/>
    <xf numFmtId="15" fontId="30" fillId="0" borderId="0" xfId="0" applyNumberFormat="1" applyFont="1"/>
    <xf numFmtId="0" fontId="0" fillId="0" borderId="28" xfId="0" applyFill="1" applyBorder="1" applyProtection="1"/>
    <xf numFmtId="43" fontId="113" fillId="0" borderId="28" xfId="61" applyFont="1" applyFill="1" applyBorder="1" applyAlignment="1" applyProtection="1">
      <alignment vertical="center"/>
    </xf>
    <xf numFmtId="0" fontId="0" fillId="0" borderId="28" xfId="0" applyBorder="1" applyProtection="1"/>
    <xf numFmtId="0" fontId="0" fillId="0" borderId="28" xfId="0" applyBorder="1"/>
    <xf numFmtId="9" fontId="17" fillId="0" borderId="0" xfId="56" applyFont="1" applyProtection="1"/>
    <xf numFmtId="43" fontId="26" fillId="24" borderId="67" xfId="58" applyFont="1" applyFill="1" applyBorder="1" applyAlignment="1" applyProtection="1">
      <alignment horizontal="center"/>
    </xf>
    <xf numFmtId="15" fontId="26" fillId="24" borderId="67" xfId="58" applyNumberFormat="1" applyFont="1" applyFill="1" applyBorder="1" applyAlignment="1" applyProtection="1">
      <alignment horizontal="center"/>
    </xf>
    <xf numFmtId="43" fontId="89" fillId="0" borderId="0" xfId="0" applyNumberFormat="1" applyFont="1" applyAlignment="1"/>
    <xf numFmtId="0" fontId="36" fillId="0" borderId="40" xfId="0" applyFont="1" applyFill="1" applyBorder="1" applyAlignment="1" applyProtection="1">
      <alignment horizontal="center" wrapText="1"/>
    </xf>
    <xf numFmtId="0" fontId="69" fillId="0" borderId="68" xfId="0" applyFont="1" applyFill="1" applyBorder="1" applyProtection="1"/>
    <xf numFmtId="0" fontId="32" fillId="27" borderId="0" xfId="0" applyFont="1" applyFill="1" applyBorder="1" applyAlignment="1" applyProtection="1">
      <alignment horizontal="left"/>
      <protection locked="0"/>
    </xf>
    <xf numFmtId="0" fontId="36" fillId="27" borderId="0" xfId="0" applyFont="1" applyFill="1" applyBorder="1" applyAlignment="1" applyProtection="1">
      <alignment horizontal="left"/>
      <protection locked="0"/>
    </xf>
    <xf numFmtId="0" fontId="36" fillId="27" borderId="0" xfId="0" applyFont="1" applyFill="1" applyAlignment="1" applyProtection="1">
      <alignment horizontal="left"/>
      <protection locked="0"/>
    </xf>
    <xf numFmtId="49" fontId="0" fillId="0" borderId="0" xfId="0" applyNumberFormat="1" applyProtection="1"/>
    <xf numFmtId="0" fontId="0" fillId="24" borderId="45"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3" fillId="0" borderId="10" xfId="28" applyNumberFormat="1" applyFont="1" applyFill="1" applyBorder="1" applyAlignment="1" applyProtection="1">
      <alignment horizontal="right"/>
    </xf>
    <xf numFmtId="3" fontId="0" fillId="24" borderId="10" xfId="0" applyNumberFormat="1" applyFill="1" applyBorder="1" applyProtection="1">
      <protection locked="0"/>
    </xf>
    <xf numFmtId="3" fontId="0" fillId="0" borderId="10" xfId="0" applyNumberFormat="1" applyFill="1" applyBorder="1" applyProtection="1"/>
    <xf numFmtId="3" fontId="0" fillId="24" borderId="66" xfId="0" applyNumberFormat="1" applyFill="1" applyBorder="1" applyProtection="1">
      <protection locked="0"/>
    </xf>
    <xf numFmtId="170" fontId="23"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4"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4" fillId="19" borderId="71" xfId="0" applyNumberFormat="1" applyFont="1" applyFill="1" applyBorder="1" applyAlignment="1" applyProtection="1">
      <alignment horizontal="center"/>
      <protection locked="0"/>
    </xf>
    <xf numFmtId="164" fontId="34" fillId="19" borderId="72" xfId="0" applyNumberFormat="1" applyFont="1" applyFill="1" applyBorder="1" applyAlignment="1" applyProtection="1">
      <alignment horizontal="center"/>
      <protection locked="0"/>
    </xf>
    <xf numFmtId="164" fontId="34"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7" fillId="0" borderId="0" xfId="0" applyNumberFormat="1" applyFont="1"/>
    <xf numFmtId="0" fontId="0" fillId="0" borderId="0" xfId="0" applyBorder="1" applyAlignment="1">
      <alignment horizontal="left"/>
    </xf>
    <xf numFmtId="43" fontId="3" fillId="0" borderId="67" xfId="58" applyFont="1" applyBorder="1" applyAlignment="1" applyProtection="1">
      <alignment horizontal="right"/>
    </xf>
    <xf numFmtId="43" fontId="117" fillId="0" borderId="0" xfId="51" applyFont="1" applyFill="1" applyBorder="1" applyProtection="1"/>
    <xf numFmtId="3" fontId="30" fillId="25" borderId="71" xfId="0" applyNumberFormat="1" applyFont="1" applyFill="1" applyBorder="1" applyAlignment="1" applyProtection="1">
      <protection locked="0"/>
    </xf>
    <xf numFmtId="3" fontId="30" fillId="25" borderId="75" xfId="0" applyNumberFormat="1" applyFont="1" applyFill="1" applyBorder="1" applyAlignment="1" applyProtection="1">
      <protection locked="0"/>
    </xf>
    <xf numFmtId="3" fontId="30" fillId="0" borderId="10" xfId="0" applyNumberFormat="1" applyFont="1" applyFill="1" applyBorder="1" applyAlignment="1" applyProtection="1"/>
    <xf numFmtId="3" fontId="30" fillId="0" borderId="69" xfId="0" applyNumberFormat="1" applyFont="1" applyFill="1" applyBorder="1" applyAlignment="1" applyProtection="1"/>
    <xf numFmtId="3" fontId="23" fillId="25" borderId="10" xfId="28" applyNumberFormat="1" applyFont="1" applyFill="1" applyBorder="1" applyAlignment="1" applyProtection="1">
      <protection locked="0"/>
    </xf>
    <xf numFmtId="3" fontId="23" fillId="25" borderId="10" xfId="28" applyNumberFormat="1" applyFont="1" applyFill="1" applyBorder="1" applyProtection="1">
      <protection locked="0"/>
    </xf>
    <xf numFmtId="3" fontId="8" fillId="0" borderId="76" xfId="28" applyNumberFormat="1" applyFont="1" applyFill="1" applyBorder="1" applyAlignment="1" applyProtection="1"/>
    <xf numFmtId="3" fontId="23" fillId="25" borderId="77" xfId="28" applyNumberFormat="1" applyFont="1" applyFill="1" applyBorder="1" applyAlignment="1" applyProtection="1">
      <protection locked="0"/>
    </xf>
    <xf numFmtId="3" fontId="8" fillId="0" borderId="78" xfId="28" applyNumberFormat="1" applyFont="1" applyFill="1" applyBorder="1" applyAlignment="1" applyProtection="1"/>
    <xf numFmtId="164" fontId="16"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3" fillId="25" borderId="80" xfId="28" applyNumberFormat="1" applyFont="1" applyFill="1" applyBorder="1" applyAlignment="1" applyProtection="1">
      <protection locked="0"/>
    </xf>
    <xf numFmtId="3" fontId="3" fillId="25" borderId="80" xfId="28" applyNumberFormat="1" applyFont="1" applyFill="1" applyBorder="1" applyProtection="1">
      <protection locked="0"/>
    </xf>
    <xf numFmtId="49" fontId="27" fillId="0" borderId="81" xfId="0" applyNumberFormat="1" applyFont="1" applyFill="1" applyBorder="1" applyAlignment="1" applyProtection="1">
      <alignment vertical="center" wrapText="1"/>
    </xf>
    <xf numFmtId="0" fontId="90" fillId="0" borderId="82" xfId="0" applyNumberFormat="1" applyFont="1" applyFill="1" applyBorder="1" applyAlignment="1" applyProtection="1">
      <alignment horizontal="center" vertical="center" wrapText="1"/>
    </xf>
    <xf numFmtId="0" fontId="90" fillId="0" borderId="83" xfId="0" applyNumberFormat="1" applyFont="1" applyFill="1" applyBorder="1" applyAlignment="1" applyProtection="1">
      <alignment horizontal="center" vertical="center" wrapText="1"/>
    </xf>
    <xf numFmtId="49" fontId="28" fillId="0" borderId="84" xfId="0" applyNumberFormat="1" applyFont="1" applyFill="1" applyBorder="1" applyAlignment="1" applyProtection="1">
      <alignment wrapText="1"/>
      <protection locked="0"/>
    </xf>
    <xf numFmtId="3" fontId="3" fillId="25" borderId="85" xfId="28" applyNumberFormat="1" applyFont="1" applyFill="1" applyBorder="1" applyProtection="1">
      <protection locked="0"/>
    </xf>
    <xf numFmtId="49" fontId="28" fillId="0" borderId="84" xfId="0" applyNumberFormat="1" applyFont="1" applyFill="1" applyBorder="1" applyAlignment="1" applyProtection="1">
      <protection locked="0"/>
    </xf>
    <xf numFmtId="0" fontId="28" fillId="0" borderId="84" xfId="0" applyFont="1" applyFill="1" applyBorder="1" applyAlignment="1" applyProtection="1">
      <alignment wrapText="1"/>
      <protection locked="0"/>
    </xf>
    <xf numFmtId="0" fontId="0" fillId="0" borderId="86" xfId="0" applyBorder="1" applyAlignment="1" applyProtection="1"/>
    <xf numFmtId="3" fontId="0" fillId="0" borderId="87"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6" xfId="0" applyNumberFormat="1" applyFill="1" applyBorder="1" applyAlignment="1" applyProtection="1">
      <alignment horizontal="left"/>
      <protection locked="0"/>
    </xf>
    <xf numFmtId="0" fontId="0" fillId="24" borderId="66" xfId="0" applyNumberFormat="1" applyFill="1" applyBorder="1" applyProtection="1">
      <protection locked="0"/>
    </xf>
    <xf numFmtId="0" fontId="0" fillId="24" borderId="66" xfId="0" applyNumberFormat="1" applyFill="1" applyBorder="1" applyAlignment="1" applyProtection="1">
      <alignment horizontal="center"/>
      <protection locked="0"/>
    </xf>
    <xf numFmtId="43" fontId="130" fillId="25" borderId="88" xfId="61" applyFill="1" applyBorder="1" applyAlignment="1" applyProtection="1">
      <alignment vertical="center"/>
    </xf>
    <xf numFmtId="0" fontId="0" fillId="27" borderId="89" xfId="0" applyFill="1" applyBorder="1"/>
    <xf numFmtId="0" fontId="0" fillId="0" borderId="20" xfId="0" applyBorder="1" applyProtection="1"/>
    <xf numFmtId="43" fontId="41" fillId="24" borderId="90" xfId="61" applyFont="1" applyFill="1" applyBorder="1" applyAlignment="1" applyProtection="1">
      <alignment horizontal="center" vertical="center"/>
    </xf>
    <xf numFmtId="43" fontId="41" fillId="0" borderId="91" xfId="61" applyFont="1" applyFill="1" applyBorder="1" applyAlignment="1" applyProtection="1">
      <alignment vertical="center"/>
    </xf>
    <xf numFmtId="0" fontId="0" fillId="0" borderId="92" xfId="0" applyNumberFormat="1" applyFill="1" applyBorder="1"/>
    <xf numFmtId="15" fontId="29" fillId="0" borderId="93"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9" fillId="0" borderId="10" xfId="0" applyNumberFormat="1" applyFont="1" applyFill="1" applyBorder="1" applyAlignment="1" applyProtection="1">
      <alignment vertical="center"/>
    </xf>
    <xf numFmtId="3" fontId="69" fillId="0" borderId="61"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0" fillId="0" borderId="10" xfId="0" applyNumberFormat="1" applyFill="1" applyBorder="1" applyProtection="1"/>
    <xf numFmtId="167" fontId="17" fillId="28" borderId="94" xfId="0" applyNumberFormat="1" applyFont="1" applyFill="1" applyBorder="1" applyAlignment="1" applyProtection="1">
      <alignment horizontal="center"/>
    </xf>
    <xf numFmtId="167" fontId="23" fillId="28" borderId="94" xfId="0" applyNumberFormat="1" applyFont="1" applyFill="1" applyBorder="1" applyAlignment="1" applyProtection="1">
      <alignment horizontal="center"/>
    </xf>
    <xf numFmtId="49" fontId="86" fillId="0" borderId="10" xfId="0" applyNumberFormat="1" applyFont="1" applyBorder="1" applyAlignment="1" applyProtection="1">
      <alignment horizontal="center"/>
      <protection locked="0"/>
    </xf>
    <xf numFmtId="43" fontId="71" fillId="0" borderId="10" xfId="51" applyFont="1" applyBorder="1" applyAlignment="1" applyProtection="1">
      <alignment horizontal="center"/>
    </xf>
    <xf numFmtId="0" fontId="71" fillId="0" borderId="10" xfId="0" applyFont="1" applyBorder="1" applyAlignment="1" applyProtection="1">
      <alignment horizontal="center"/>
    </xf>
    <xf numFmtId="0" fontId="79" fillId="0" borderId="95" xfId="0" applyFont="1" applyFill="1" applyBorder="1" applyAlignment="1" applyProtection="1">
      <alignment horizontal="center" vertical="center" wrapText="1"/>
    </xf>
    <xf numFmtId="0" fontId="79" fillId="0" borderId="96" xfId="0" applyFont="1" applyFill="1" applyBorder="1" applyAlignment="1" applyProtection="1">
      <alignment horizontal="center"/>
    </xf>
    <xf numFmtId="0" fontId="79" fillId="0" borderId="97" xfId="0" applyFont="1" applyFill="1" applyBorder="1" applyAlignment="1" applyProtection="1">
      <alignment horizontal="center"/>
    </xf>
    <xf numFmtId="0" fontId="79" fillId="0" borderId="98" xfId="0" applyNumberFormat="1" applyFont="1" applyFill="1" applyBorder="1" applyAlignment="1" applyProtection="1">
      <alignment horizontal="center"/>
    </xf>
    <xf numFmtId="0" fontId="79" fillId="0" borderId="99" xfId="0" applyNumberFormat="1" applyFont="1" applyFill="1" applyBorder="1" applyAlignment="1" applyProtection="1">
      <alignment horizontal="center"/>
    </xf>
    <xf numFmtId="0" fontId="79" fillId="0" borderId="99" xfId="0" applyNumberFormat="1" applyFont="1" applyFill="1" applyBorder="1" applyAlignment="1" applyProtection="1">
      <alignment horizontal="center" vertical="center"/>
    </xf>
    <xf numFmtId="0" fontId="79" fillId="0" borderId="100" xfId="0" applyNumberFormat="1" applyFont="1" applyFill="1" applyBorder="1" applyAlignment="1" applyProtection="1">
      <alignment horizontal="center" vertical="center"/>
    </xf>
    <xf numFmtId="0" fontId="83" fillId="0" borderId="101" xfId="0" applyNumberFormat="1" applyFont="1" applyFill="1" applyBorder="1" applyAlignment="1" applyProtection="1">
      <alignment horizontal="center" vertical="center"/>
    </xf>
    <xf numFmtId="0" fontId="83" fillId="0" borderId="102" xfId="0" applyNumberFormat="1" applyFont="1" applyFill="1" applyBorder="1" applyAlignment="1" applyProtection="1">
      <alignment horizontal="center" vertical="center"/>
    </xf>
    <xf numFmtId="0" fontId="83" fillId="0" borderId="103" xfId="0" applyNumberFormat="1" applyFont="1" applyFill="1" applyBorder="1" applyAlignment="1" applyProtection="1">
      <alignment horizontal="center" vertical="center"/>
    </xf>
    <xf numFmtId="0" fontId="79" fillId="0" borderId="104" xfId="0" applyFont="1" applyFill="1" applyBorder="1" applyAlignment="1" applyProtection="1">
      <alignment horizontal="center" vertical="center"/>
    </xf>
    <xf numFmtId="0" fontId="79" fillId="0" borderId="105" xfId="0" applyFont="1" applyFill="1" applyBorder="1" applyAlignment="1" applyProtection="1">
      <alignment horizontal="center" vertical="center"/>
    </xf>
    <xf numFmtId="0" fontId="79" fillId="0" borderId="106" xfId="0" applyFont="1" applyFill="1" applyBorder="1" applyAlignment="1" applyProtection="1">
      <alignment horizontal="center" vertical="center"/>
    </xf>
    <xf numFmtId="0" fontId="79" fillId="0" borderId="107" xfId="0" applyFont="1" applyFill="1" applyBorder="1" applyAlignment="1" applyProtection="1">
      <alignment horizontal="center" vertical="center"/>
    </xf>
    <xf numFmtId="0" fontId="4" fillId="0" borderId="108" xfId="0" applyFont="1" applyFill="1" applyBorder="1" applyAlignment="1" applyProtection="1">
      <alignment horizontal="center"/>
    </xf>
    <xf numFmtId="164" fontId="16" fillId="19" borderId="105" xfId="0" applyNumberFormat="1" applyFont="1" applyFill="1" applyBorder="1" applyAlignment="1" applyProtection="1">
      <alignment horizontal="center"/>
      <protection locked="0"/>
    </xf>
    <xf numFmtId="164" fontId="16" fillId="19" borderId="109" xfId="0" applyNumberFormat="1" applyFont="1" applyFill="1" applyBorder="1" applyAlignment="1" applyProtection="1">
      <alignment horizontal="center"/>
      <protection locked="0"/>
    </xf>
    <xf numFmtId="43" fontId="3" fillId="0" borderId="67" xfId="58" applyFont="1" applyFill="1" applyBorder="1" applyAlignment="1" applyProtection="1">
      <alignment horizontal="right"/>
    </xf>
    <xf numFmtId="0" fontId="0" fillId="0" borderId="0" xfId="0" applyBorder="1" applyAlignment="1" applyProtection="1">
      <alignment horizontal="right"/>
    </xf>
    <xf numFmtId="0" fontId="0" fillId="0" borderId="0" xfId="0" applyAlignment="1" applyProtection="1">
      <alignment horizontal="right"/>
    </xf>
    <xf numFmtId="0" fontId="36" fillId="27" borderId="0" xfId="0" applyFont="1" applyFill="1" applyAlignment="1" applyProtection="1">
      <alignment horizontal="right" vertical="top"/>
      <protection locked="0"/>
    </xf>
    <xf numFmtId="0" fontId="36" fillId="27" borderId="0" xfId="0" applyFont="1" applyFill="1" applyBorder="1" applyAlignment="1" applyProtection="1">
      <alignment horizontal="right" vertical="top"/>
      <protection locked="0"/>
    </xf>
    <xf numFmtId="0" fontId="30" fillId="0" borderId="0" xfId="0" applyFont="1" applyAlignment="1">
      <alignment horizontal="left"/>
    </xf>
    <xf numFmtId="0" fontId="30" fillId="0" borderId="0" xfId="0" applyFont="1" applyFill="1" applyAlignment="1">
      <alignment horizontal="left"/>
    </xf>
    <xf numFmtId="0" fontId="82" fillId="0" borderId="68" xfId="0" applyFont="1" applyBorder="1" applyAlignment="1">
      <alignment horizontal="left" vertical="center" wrapText="1"/>
    </xf>
    <xf numFmtId="0" fontId="82" fillId="0" borderId="105" xfId="0" applyFont="1" applyBorder="1" applyAlignment="1">
      <alignment horizontal="left" vertical="center" wrapText="1"/>
    </xf>
    <xf numFmtId="0" fontId="82" fillId="0" borderId="107" xfId="0" applyFont="1" applyBorder="1" applyAlignment="1">
      <alignment horizontal="left" vertical="center" wrapText="1"/>
    </xf>
    <xf numFmtId="0" fontId="30" fillId="0" borderId="0" xfId="0" applyFont="1"/>
    <xf numFmtId="0" fontId="30" fillId="0" borderId="0" xfId="0" applyFont="1" applyFill="1"/>
    <xf numFmtId="0" fontId="125" fillId="0" borderId="0" xfId="0" applyFont="1" applyFill="1"/>
    <xf numFmtId="0" fontId="82" fillId="0" borderId="2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2" fillId="0" borderId="111" xfId="0" applyFont="1" applyBorder="1" applyAlignment="1" applyProtection="1">
      <alignment horizontal="left" vertical="center" wrapText="1"/>
      <protection locked="0"/>
    </xf>
    <xf numFmtId="0" fontId="82" fillId="27" borderId="29" xfId="0" applyFont="1" applyFill="1" applyBorder="1" applyAlignment="1">
      <alignment horizontal="justify" vertical="center" wrapText="1"/>
    </xf>
    <xf numFmtId="0" fontId="83" fillId="27" borderId="110" xfId="0" applyFont="1" applyFill="1" applyBorder="1" applyAlignment="1">
      <alignment horizontal="justify" vertical="center" wrapText="1"/>
    </xf>
    <xf numFmtId="0" fontId="83" fillId="27" borderId="111" xfId="0" applyFont="1" applyFill="1" applyBorder="1" applyAlignment="1">
      <alignment horizontal="justify" vertical="center" wrapText="1"/>
    </xf>
    <xf numFmtId="0" fontId="82" fillId="27" borderId="29" xfId="0" applyFont="1" applyFill="1" applyBorder="1" applyAlignment="1">
      <alignment horizontal="left" vertical="center" wrapText="1"/>
    </xf>
    <xf numFmtId="0" fontId="82" fillId="27" borderId="110" xfId="0" applyFont="1" applyFill="1" applyBorder="1" applyAlignment="1">
      <alignment horizontal="left" vertical="center" wrapText="1"/>
    </xf>
    <xf numFmtId="0" fontId="82" fillId="27" borderId="111" xfId="0" applyFont="1" applyFill="1" applyBorder="1" applyAlignment="1">
      <alignment horizontal="left" vertical="center" wrapText="1"/>
    </xf>
    <xf numFmtId="0" fontId="83" fillId="0" borderId="29" xfId="0" applyFont="1" applyBorder="1" applyAlignment="1">
      <alignment vertical="center" wrapText="1"/>
    </xf>
    <xf numFmtId="0" fontId="83" fillId="0" borderId="110" xfId="0" applyFont="1" applyBorder="1" applyAlignment="1">
      <alignment vertical="center" wrapText="1"/>
    </xf>
    <xf numFmtId="0" fontId="82" fillId="0" borderId="110" xfId="0" applyFont="1" applyBorder="1" applyAlignment="1">
      <alignment horizontal="justify" vertical="center" wrapText="1"/>
    </xf>
    <xf numFmtId="0" fontId="83" fillId="0" borderId="110" xfId="0" applyFont="1" applyBorder="1" applyAlignment="1">
      <alignment horizontal="justify" vertical="center" wrapText="1"/>
    </xf>
    <xf numFmtId="0" fontId="82" fillId="0" borderId="111" xfId="0" applyFont="1" applyBorder="1" applyAlignment="1">
      <alignment horizontal="justify" vertical="center" wrapText="1"/>
    </xf>
    <xf numFmtId="0" fontId="82" fillId="0" borderId="29" xfId="0" applyFont="1" applyBorder="1" applyAlignment="1">
      <alignment horizontal="justify" vertical="center" wrapText="1"/>
    </xf>
    <xf numFmtId="43" fontId="83" fillId="0" borderId="68" xfId="0" applyNumberFormat="1" applyFont="1" applyBorder="1" applyAlignment="1">
      <alignment horizontal="left" vertical="center" wrapText="1"/>
    </xf>
    <xf numFmtId="0" fontId="83" fillId="0" borderId="105" xfId="0" applyFont="1" applyBorder="1" applyAlignment="1">
      <alignment horizontal="left" vertical="center"/>
    </xf>
    <xf numFmtId="0" fontId="83" fillId="0" borderId="107" xfId="0" applyFont="1" applyBorder="1" applyAlignment="1">
      <alignment horizontal="left" vertical="center"/>
    </xf>
    <xf numFmtId="0" fontId="126" fillId="0" borderId="0" xfId="0" applyFont="1" applyAlignment="1">
      <alignment horizontal="right"/>
    </xf>
    <xf numFmtId="0" fontId="69" fillId="23" borderId="10" xfId="0" applyFont="1" applyFill="1" applyBorder="1" applyAlignment="1" applyProtection="1">
      <alignment horizontal="left"/>
    </xf>
    <xf numFmtId="0" fontId="69" fillId="0" borderId="10" xfId="0" applyFont="1" applyFill="1" applyBorder="1" applyAlignment="1" applyProtection="1">
      <alignment horizontal="left"/>
    </xf>
    <xf numFmtId="0" fontId="0" fillId="0" borderId="0" xfId="0" applyAlignment="1" applyProtection="1">
      <alignment horizontal="center"/>
    </xf>
    <xf numFmtId="0" fontId="0" fillId="0" borderId="0" xfId="0" applyFill="1" applyAlignment="1">
      <alignment horizontal="center"/>
    </xf>
    <xf numFmtId="0" fontId="127" fillId="0" borderId="0" xfId="0" applyFont="1" applyAlignment="1" applyProtection="1">
      <alignment vertical="center"/>
    </xf>
    <xf numFmtId="0" fontId="128" fillId="0" borderId="0" xfId="0" applyFont="1" applyProtection="1"/>
    <xf numFmtId="3" fontId="26" fillId="24" borderId="67" xfId="58" applyNumberFormat="1" applyFont="1" applyFill="1" applyBorder="1" applyAlignment="1" applyProtection="1">
      <alignment horizontal="left"/>
    </xf>
    <xf numFmtId="15" fontId="26" fillId="24" borderId="67" xfId="58" applyNumberFormat="1" applyFont="1" applyFill="1" applyBorder="1" applyAlignment="1" applyProtection="1">
      <alignment horizontal="left"/>
    </xf>
    <xf numFmtId="14" fontId="26" fillId="24" borderId="67" xfId="58" applyNumberFormat="1" applyFont="1" applyFill="1" applyBorder="1" applyAlignment="1" applyProtection="1">
      <alignment horizontal="left"/>
    </xf>
    <xf numFmtId="171" fontId="26" fillId="24" borderId="67" xfId="58" applyNumberFormat="1" applyFont="1" applyFill="1" applyBorder="1" applyAlignment="1" applyProtection="1">
      <alignment horizontal="left"/>
    </xf>
    <xf numFmtId="43" fontId="26" fillId="24" borderId="67" xfId="58" applyFont="1" applyFill="1" applyBorder="1" applyAlignment="1" applyProtection="1">
      <alignment horizontal="left"/>
    </xf>
    <xf numFmtId="14" fontId="0" fillId="0" borderId="10" xfId="0" applyNumberFormat="1" applyBorder="1" applyAlignment="1" applyProtection="1">
      <alignment horizontal="left"/>
      <protection locked="0"/>
    </xf>
    <xf numFmtId="0" fontId="0" fillId="0" borderId="0" xfId="0" applyAlignment="1" applyProtection="1">
      <alignment horizontal="left"/>
    </xf>
    <xf numFmtId="49" fontId="0" fillId="0" borderId="10" xfId="0" applyNumberFormat="1" applyBorder="1" applyAlignment="1" applyProtection="1">
      <alignment horizontal="left"/>
      <protection locked="0"/>
    </xf>
    <xf numFmtId="0" fontId="30" fillId="0" borderId="56" xfId="0" applyFont="1" applyFill="1" applyBorder="1" applyAlignment="1" applyProtection="1">
      <alignment horizontal="center" wrapText="1"/>
    </xf>
    <xf numFmtId="3" fontId="14" fillId="20" borderId="11" xfId="0" applyNumberFormat="1" applyFont="1" applyFill="1" applyBorder="1" applyAlignment="1">
      <alignment horizontal="right"/>
    </xf>
    <xf numFmtId="0" fontId="0" fillId="0" borderId="0" xfId="0" applyAlignment="1">
      <alignment horizontal="left"/>
    </xf>
    <xf numFmtId="0" fontId="111" fillId="0" borderId="0" xfId="0" applyFont="1" applyAlignment="1" applyProtection="1">
      <alignment horizontal="right"/>
      <protection locked="0"/>
    </xf>
    <xf numFmtId="0" fontId="129" fillId="0" borderId="0" xfId="0" applyFont="1" applyAlignment="1">
      <alignment horizontal="center"/>
    </xf>
    <xf numFmtId="0" fontId="34" fillId="27" borderId="10" xfId="0" applyFont="1" applyFill="1" applyBorder="1" applyAlignment="1">
      <alignment horizontal="center" vertical="center" wrapText="1"/>
    </xf>
    <xf numFmtId="164" fontId="34" fillId="19" borderId="112" xfId="0" applyNumberFormat="1" applyFont="1" applyFill="1" applyBorder="1" applyAlignment="1" applyProtection="1">
      <alignment horizontal="center"/>
    </xf>
    <xf numFmtId="164" fontId="16" fillId="19" borderId="79" xfId="0" applyNumberFormat="1" applyFont="1" applyFill="1" applyBorder="1" applyAlignment="1" applyProtection="1">
      <alignment horizontal="center"/>
    </xf>
    <xf numFmtId="3" fontId="69" fillId="29" borderId="10" xfId="0" applyNumberFormat="1" applyFont="1" applyFill="1" applyBorder="1" applyAlignment="1" applyProtection="1">
      <alignment vertical="center"/>
      <protection locked="0"/>
    </xf>
    <xf numFmtId="0" fontId="95" fillId="0" borderId="10" xfId="0" applyFont="1" applyFill="1" applyBorder="1" applyAlignment="1" applyProtection="1">
      <alignment horizontal="center" vertical="center"/>
    </xf>
    <xf numFmtId="4" fontId="0" fillId="0" borderId="113" xfId="0" applyNumberFormat="1" applyFill="1" applyBorder="1" applyProtection="1">
      <protection locked="0"/>
    </xf>
    <xf numFmtId="4" fontId="0" fillId="0" borderId="92" xfId="0" applyNumberFormat="1" applyFill="1" applyBorder="1" applyProtection="1">
      <protection locked="0"/>
    </xf>
    <xf numFmtId="0" fontId="0" fillId="0" borderId="92" xfId="0" applyNumberFormat="1" applyFill="1" applyBorder="1" applyProtection="1">
      <protection locked="0"/>
    </xf>
    <xf numFmtId="170" fontId="0" fillId="0" borderId="92" xfId="0" applyNumberFormat="1" applyFill="1" applyBorder="1" applyProtection="1">
      <protection locked="0"/>
    </xf>
    <xf numFmtId="0" fontId="0" fillId="0" borderId="92" xfId="0" applyFill="1" applyBorder="1" applyProtection="1">
      <protection locked="0"/>
    </xf>
    <xf numFmtId="3" fontId="0" fillId="0" borderId="92" xfId="0" applyNumberFormat="1" applyFill="1" applyBorder="1" applyProtection="1">
      <protection locked="0"/>
    </xf>
    <xf numFmtId="0" fontId="0" fillId="0" borderId="108" xfId="0" applyFill="1" applyBorder="1" applyProtection="1">
      <protection locked="0"/>
    </xf>
    <xf numFmtId="0" fontId="0" fillId="0" borderId="113" xfId="0" applyBorder="1" applyProtection="1">
      <protection locked="0"/>
    </xf>
    <xf numFmtId="0" fontId="0" fillId="0" borderId="92" xfId="0" applyBorder="1" applyProtection="1">
      <protection locked="0"/>
    </xf>
    <xf numFmtId="0" fontId="0" fillId="0" borderId="108" xfId="0" applyBorder="1" applyProtection="1">
      <protection locked="0"/>
    </xf>
    <xf numFmtId="15" fontId="0" fillId="21" borderId="0" xfId="0" applyNumberFormat="1" applyFill="1" applyAlignment="1" applyProtection="1">
      <alignment horizontal="center" vertical="center"/>
      <protection locked="0"/>
    </xf>
    <xf numFmtId="15" fontId="0" fillId="0" borderId="10" xfId="0" applyNumberFormat="1" applyBorder="1" applyAlignment="1">
      <alignment horizontal="center" vertical="top"/>
    </xf>
    <xf numFmtId="0" fontId="82" fillId="0" borderId="10" xfId="0" applyFont="1" applyBorder="1" applyAlignment="1">
      <alignment horizontal="center" vertical="top" wrapText="1"/>
    </xf>
    <xf numFmtId="1" fontId="0" fillId="0" borderId="10" xfId="0" applyNumberFormat="1" applyFill="1" applyBorder="1" applyAlignment="1" applyProtection="1">
      <alignment horizontal="center"/>
    </xf>
    <xf numFmtId="2" fontId="0" fillId="24" borderId="10" xfId="0" applyNumberFormat="1" applyFill="1" applyBorder="1" applyProtection="1">
      <protection locked="0"/>
    </xf>
    <xf numFmtId="2" fontId="0" fillId="0" borderId="10" xfId="0" applyNumberFormat="1" applyFill="1" applyBorder="1" applyProtection="1"/>
    <xf numFmtId="0" fontId="34" fillId="27" borderId="29" xfId="0" applyFont="1" applyFill="1" applyBorder="1" applyAlignment="1">
      <alignment horizontal="center" vertical="center" wrapText="1"/>
    </xf>
    <xf numFmtId="0" fontId="82" fillId="0" borderId="29" xfId="0" applyFont="1" applyBorder="1" applyAlignment="1">
      <alignment vertical="top" wrapText="1"/>
    </xf>
    <xf numFmtId="3" fontId="2" fillId="25" borderId="80" xfId="28" applyNumberFormat="1" applyFont="1" applyFill="1" applyBorder="1" applyAlignment="1" applyProtection="1">
      <protection locked="0"/>
    </xf>
    <xf numFmtId="0" fontId="98" fillId="0" borderId="0" xfId="0" applyFont="1" applyAlignment="1" applyProtection="1">
      <alignment horizontal="right"/>
    </xf>
    <xf numFmtId="3" fontId="4" fillId="29" borderId="10" xfId="0" applyNumberFormat="1" applyFont="1" applyFill="1" applyBorder="1" applyAlignment="1" applyProtection="1">
      <alignment vertical="center"/>
      <protection locked="0"/>
    </xf>
    <xf numFmtId="15" fontId="1" fillId="21" borderId="10" xfId="58" applyNumberFormat="1" applyFont="1" applyFill="1" applyBorder="1" applyAlignment="1" applyProtection="1">
      <alignment horizontal="left"/>
      <protection locked="0"/>
    </xf>
    <xf numFmtId="0" fontId="131" fillId="0" borderId="0" xfId="0" applyFont="1" applyProtection="1"/>
    <xf numFmtId="43" fontId="30" fillId="25" borderId="71" xfId="28" applyFont="1" applyFill="1" applyBorder="1" applyAlignment="1" applyProtection="1">
      <protection locked="0"/>
    </xf>
    <xf numFmtId="15" fontId="3" fillId="39" borderId="10" xfId="58" applyNumberFormat="1" applyFont="1" applyFill="1" applyBorder="1" applyAlignment="1" applyProtection="1">
      <alignment horizontal="left"/>
      <protection locked="0"/>
    </xf>
    <xf numFmtId="3" fontId="30" fillId="40" borderId="10" xfId="0" applyNumberFormat="1" applyFont="1" applyFill="1" applyBorder="1" applyAlignment="1" applyProtection="1">
      <alignment vertical="center"/>
    </xf>
    <xf numFmtId="3" fontId="30" fillId="41" borderId="10" xfId="0" applyNumberFormat="1" applyFont="1" applyFill="1" applyBorder="1" applyAlignment="1" applyProtection="1">
      <alignment vertical="center"/>
    </xf>
    <xf numFmtId="165" fontId="4" fillId="22" borderId="10" xfId="28" applyNumberFormat="1" applyFont="1" applyFill="1" applyBorder="1" applyAlignment="1" applyProtection="1">
      <alignment vertical="center"/>
      <protection locked="0"/>
    </xf>
    <xf numFmtId="43" fontId="19" fillId="30" borderId="0" xfId="39" applyFont="1" applyFill="1" applyBorder="1" applyAlignment="1">
      <alignment horizontal="center" vertical="center"/>
    </xf>
    <xf numFmtId="43" fontId="35" fillId="0" borderId="0" xfId="0" applyNumberFormat="1" applyFont="1" applyAlignment="1">
      <alignment horizontal="center"/>
    </xf>
    <xf numFmtId="0" fontId="0" fillId="0" borderId="0" xfId="0" applyAlignment="1"/>
    <xf numFmtId="0" fontId="120" fillId="0" borderId="0" xfId="0" applyFont="1" applyAlignment="1">
      <alignment horizontal="center"/>
    </xf>
    <xf numFmtId="0" fontId="121" fillId="0" borderId="0" xfId="0" applyFont="1" applyAlignment="1">
      <alignment horizontal="center"/>
    </xf>
    <xf numFmtId="0" fontId="38" fillId="27" borderId="29" xfId="0" applyFont="1" applyFill="1" applyBorder="1" applyAlignment="1">
      <alignment horizontal="center"/>
    </xf>
    <xf numFmtId="0" fontId="38" fillId="27" borderId="110" xfId="0" applyFont="1" applyFill="1" applyBorder="1" applyAlignment="1">
      <alignment horizontal="center"/>
    </xf>
    <xf numFmtId="0" fontId="38" fillId="27" borderId="111" xfId="0" applyFont="1" applyFill="1" applyBorder="1" applyAlignment="1">
      <alignment horizontal="center"/>
    </xf>
    <xf numFmtId="0" fontId="82" fillId="0" borderId="29" xfId="0" applyFont="1" applyBorder="1" applyAlignment="1">
      <alignment horizontal="left" vertical="center" wrapText="1"/>
    </xf>
    <xf numFmtId="0" fontId="82" fillId="0" borderId="110" xfId="0" applyFont="1" applyBorder="1" applyAlignment="1">
      <alignment horizontal="left" vertical="center" wrapText="1"/>
    </xf>
    <xf numFmtId="0" fontId="82" fillId="0" borderId="111" xfId="0" applyFont="1" applyBorder="1" applyAlignment="1">
      <alignment horizontal="left" vertical="center" wrapText="1"/>
    </xf>
    <xf numFmtId="0" fontId="82" fillId="0" borderId="29" xfId="0" applyFont="1" applyBorder="1" applyAlignment="1" applyProtection="1">
      <alignment horizontal="left" vertical="center" wrapText="1"/>
      <protection locked="0"/>
    </xf>
    <xf numFmtId="0" fontId="82" fillId="0" borderId="110" xfId="0" applyFont="1" applyBorder="1" applyAlignment="1" applyProtection="1">
      <alignment horizontal="left" vertical="center" wrapText="1"/>
      <protection locked="0"/>
    </xf>
    <xf numFmtId="0" fontId="82" fillId="0" borderId="111" xfId="0" applyFont="1" applyBorder="1" applyAlignment="1" applyProtection="1">
      <alignment horizontal="left" vertical="center" wrapText="1"/>
      <protection locked="0"/>
    </xf>
    <xf numFmtId="0" fontId="82" fillId="0" borderId="29" xfId="0" applyNumberFormat="1" applyFont="1" applyBorder="1" applyAlignment="1" applyProtection="1">
      <alignment horizontal="left" vertical="center" wrapText="1"/>
      <protection locked="0"/>
    </xf>
    <xf numFmtId="0" fontId="82" fillId="0" borderId="110" xfId="0" applyNumberFormat="1" applyFont="1" applyBorder="1" applyAlignment="1" applyProtection="1">
      <alignment horizontal="left" vertical="center" wrapText="1"/>
      <protection locked="0"/>
    </xf>
    <xf numFmtId="0" fontId="82" fillId="0" borderId="111" xfId="0" applyNumberFormat="1" applyFont="1" applyBorder="1" applyAlignment="1" applyProtection="1">
      <alignment horizontal="left" vertical="center" wrapText="1"/>
      <protection locked="0"/>
    </xf>
    <xf numFmtId="0" fontId="82" fillId="0" borderId="29" xfId="0" applyFont="1" applyBorder="1" applyAlignment="1" applyProtection="1">
      <alignment horizontal="justify" vertical="center" wrapText="1"/>
      <protection locked="0"/>
    </xf>
    <xf numFmtId="0" fontId="83" fillId="0" borderId="110" xfId="0" applyFont="1" applyBorder="1" applyAlignment="1" applyProtection="1">
      <alignment horizontal="justify" vertical="center" wrapText="1"/>
      <protection locked="0"/>
    </xf>
    <xf numFmtId="0" fontId="83" fillId="0" borderId="111" xfId="0" applyFont="1" applyBorder="1" applyAlignment="1" applyProtection="1">
      <alignment horizontal="justify" vertical="center" wrapText="1"/>
      <protection locked="0"/>
    </xf>
    <xf numFmtId="0" fontId="83" fillId="0" borderId="110" xfId="0" applyFont="1" applyBorder="1" applyAlignment="1" applyProtection="1">
      <alignment horizontal="left" vertical="center" wrapText="1"/>
      <protection locked="0"/>
    </xf>
    <xf numFmtId="0" fontId="83" fillId="0" borderId="111" xfId="0" applyFont="1" applyBorder="1" applyAlignment="1" applyProtection="1">
      <alignment horizontal="left" vertical="center" wrapText="1"/>
      <protection locked="0"/>
    </xf>
    <xf numFmtId="0" fontId="30" fillId="0" borderId="29" xfId="0" applyFont="1" applyBorder="1" applyAlignment="1">
      <alignment horizontal="center" vertical="center" wrapText="1"/>
    </xf>
    <xf numFmtId="0" fontId="30" fillId="0" borderId="110" xfId="0" applyFont="1" applyBorder="1" applyAlignment="1">
      <alignment horizontal="center" vertical="center" wrapText="1"/>
    </xf>
    <xf numFmtId="0" fontId="30" fillId="0" borderId="111" xfId="0" applyFont="1" applyBorder="1" applyAlignment="1">
      <alignment horizontal="center" vertical="center" wrapText="1"/>
    </xf>
    <xf numFmtId="0" fontId="88" fillId="0" borderId="0" xfId="0" applyFont="1" applyAlignment="1">
      <alignment horizontal="left"/>
    </xf>
    <xf numFmtId="0" fontId="38" fillId="27" borderId="29" xfId="0" applyFont="1" applyFill="1" applyBorder="1" applyAlignment="1">
      <alignment horizontal="center" vertical="center" wrapText="1"/>
    </xf>
    <xf numFmtId="0" fontId="38" fillId="27" borderId="110" xfId="0" applyFont="1" applyFill="1" applyBorder="1" applyAlignment="1">
      <alignment horizontal="center" vertical="center"/>
    </xf>
    <xf numFmtId="0" fontId="38" fillId="27" borderId="111" xfId="0" applyFont="1" applyFill="1" applyBorder="1" applyAlignment="1">
      <alignment horizontal="center" vertical="center"/>
    </xf>
    <xf numFmtId="0" fontId="34" fillId="27" borderId="29" xfId="0" applyFont="1" applyFill="1" applyBorder="1" applyAlignment="1">
      <alignment horizontal="center" vertical="center"/>
    </xf>
    <xf numFmtId="0" fontId="38" fillId="27" borderId="29" xfId="0" applyFont="1" applyFill="1" applyBorder="1" applyAlignment="1">
      <alignment horizontal="center" vertical="center"/>
    </xf>
    <xf numFmtId="43" fontId="83" fillId="0" borderId="29" xfId="0" applyNumberFormat="1" applyFont="1" applyBorder="1" applyAlignment="1">
      <alignment horizontal="left" vertical="center" wrapText="1"/>
    </xf>
    <xf numFmtId="0" fontId="83" fillId="0" borderId="110" xfId="0" applyFont="1" applyBorder="1" applyAlignment="1">
      <alignment horizontal="left" vertical="center" wrapText="1"/>
    </xf>
    <xf numFmtId="0" fontId="83" fillId="0" borderId="111" xfId="0" applyFont="1" applyBorder="1" applyAlignment="1">
      <alignment horizontal="left" vertical="center" wrapText="1"/>
    </xf>
    <xf numFmtId="43" fontId="83" fillId="0" borderId="114" xfId="0" applyNumberFormat="1" applyFont="1" applyBorder="1" applyAlignment="1">
      <alignment horizontal="left" vertical="center" wrapText="1"/>
    </xf>
    <xf numFmtId="0" fontId="83" fillId="0" borderId="115" xfId="0" applyFont="1" applyBorder="1" applyAlignment="1">
      <alignment horizontal="left" vertical="center" wrapText="1"/>
    </xf>
    <xf numFmtId="0" fontId="83" fillId="0" borderId="116" xfId="0" applyFont="1" applyBorder="1" applyAlignment="1">
      <alignment horizontal="left" vertical="center" wrapText="1"/>
    </xf>
    <xf numFmtId="0" fontId="83" fillId="0" borderId="68" xfId="0" applyFont="1" applyBorder="1" applyAlignment="1">
      <alignment horizontal="left" vertical="center" wrapText="1"/>
    </xf>
    <xf numFmtId="0" fontId="83" fillId="0" borderId="105" xfId="0" applyFont="1" applyBorder="1" applyAlignment="1">
      <alignment horizontal="left" vertical="center" wrapText="1"/>
    </xf>
    <xf numFmtId="0" fontId="83" fillId="0" borderId="107" xfId="0" applyFont="1" applyBorder="1" applyAlignment="1">
      <alignment horizontal="left" vertical="center" wrapText="1"/>
    </xf>
    <xf numFmtId="0" fontId="82" fillId="0" borderId="114" xfId="0" applyFont="1" applyBorder="1" applyAlignment="1">
      <alignment horizontal="left" wrapText="1"/>
    </xf>
    <xf numFmtId="0" fontId="82" fillId="0" borderId="115" xfId="0" applyFont="1" applyBorder="1" applyAlignment="1">
      <alignment horizontal="left" wrapText="1"/>
    </xf>
    <xf numFmtId="0" fontId="82" fillId="0" borderId="116" xfId="0" applyFont="1" applyBorder="1" applyAlignment="1">
      <alignment horizontal="left" wrapText="1"/>
    </xf>
    <xf numFmtId="0" fontId="79" fillId="0" borderId="29" xfId="0" applyFont="1" applyFill="1" applyBorder="1" applyAlignment="1" applyProtection="1">
      <alignment vertical="center" wrapText="1"/>
      <protection locked="0"/>
    </xf>
    <xf numFmtId="0" fontId="79" fillId="0" borderId="110" xfId="0" applyFont="1" applyFill="1" applyBorder="1" applyAlignment="1" applyProtection="1">
      <alignment vertical="center" wrapText="1"/>
      <protection locked="0"/>
    </xf>
    <xf numFmtId="0" fontId="79" fillId="0" borderId="111" xfId="0" applyFont="1" applyFill="1" applyBorder="1" applyAlignment="1" applyProtection="1">
      <alignment vertical="center" wrapText="1"/>
      <protection locked="0"/>
    </xf>
    <xf numFmtId="0" fontId="82" fillId="0" borderId="114" xfId="0" applyFont="1" applyBorder="1" applyAlignment="1">
      <alignment horizontal="left" vertical="center" wrapText="1"/>
    </xf>
    <xf numFmtId="0" fontId="82" fillId="0" borderId="115" xfId="0" applyFont="1" applyBorder="1" applyAlignment="1">
      <alignment horizontal="left" vertical="center" wrapText="1"/>
    </xf>
    <xf numFmtId="0" fontId="82" fillId="0" borderId="116" xfId="0" applyFont="1" applyBorder="1" applyAlignment="1">
      <alignment horizontal="left" vertical="center" wrapText="1"/>
    </xf>
    <xf numFmtId="0" fontId="82" fillId="0" borderId="68" xfId="0" applyFont="1" applyBorder="1" applyAlignment="1">
      <alignment horizontal="left" vertical="center" wrapText="1"/>
    </xf>
    <xf numFmtId="0" fontId="82" fillId="0" borderId="105" xfId="0" applyFont="1" applyBorder="1" applyAlignment="1">
      <alignment horizontal="left" vertical="center" wrapText="1"/>
    </xf>
    <xf numFmtId="0" fontId="82" fillId="0" borderId="107" xfId="0" applyFont="1" applyBorder="1" applyAlignment="1">
      <alignment horizontal="left" vertical="center" wrapText="1"/>
    </xf>
    <xf numFmtId="0" fontId="34" fillId="0" borderId="29" xfId="0" applyFont="1" applyBorder="1" applyAlignment="1">
      <alignment horizontal="center" vertical="center" wrapText="1"/>
    </xf>
    <xf numFmtId="0" fontId="34" fillId="0" borderId="110" xfId="0" applyFont="1" applyBorder="1" applyAlignment="1">
      <alignment horizontal="center" vertical="center" wrapText="1"/>
    </xf>
    <xf numFmtId="0" fontId="34" fillId="0" borderId="111" xfId="0" applyFont="1" applyBorder="1" applyAlignment="1">
      <alignment horizontal="center" vertical="center" wrapText="1"/>
    </xf>
    <xf numFmtId="0" fontId="83" fillId="0" borderId="29" xfId="0" applyFont="1" applyBorder="1" applyAlignment="1" applyProtection="1">
      <alignment vertical="center" wrapText="1"/>
      <protection locked="0"/>
    </xf>
    <xf numFmtId="0" fontId="83" fillId="0" borderId="110" xfId="0" applyFont="1" applyBorder="1" applyAlignment="1" applyProtection="1">
      <alignment vertical="center" wrapText="1"/>
      <protection locked="0"/>
    </xf>
    <xf numFmtId="0" fontId="83" fillId="0" borderId="111" xfId="0" applyFont="1" applyBorder="1" applyAlignment="1" applyProtection="1">
      <alignment vertical="center" wrapText="1"/>
      <protection locked="0"/>
    </xf>
    <xf numFmtId="0" fontId="30" fillId="0" borderId="0" xfId="0" applyFont="1" applyBorder="1" applyAlignment="1">
      <alignment horizontal="left"/>
    </xf>
    <xf numFmtId="0" fontId="83" fillId="24" borderId="29" xfId="0" applyFont="1" applyFill="1" applyBorder="1" applyAlignment="1">
      <alignment horizontal="center"/>
    </xf>
    <xf numFmtId="0" fontId="83" fillId="24" borderId="110" xfId="0" applyFont="1" applyFill="1" applyBorder="1" applyAlignment="1">
      <alignment horizontal="center"/>
    </xf>
    <xf numFmtId="0" fontId="83" fillId="24" borderId="111" xfId="0" applyFont="1" applyFill="1" applyBorder="1" applyAlignment="1">
      <alignment horizontal="center"/>
    </xf>
    <xf numFmtId="0" fontId="65" fillId="0" borderId="0" xfId="0" applyFont="1" applyBorder="1" applyAlignment="1">
      <alignment horizontal="left" wrapText="1"/>
    </xf>
    <xf numFmtId="0" fontId="4" fillId="0" borderId="68" xfId="0" applyFont="1" applyBorder="1" applyAlignment="1">
      <alignment horizontal="left" vertical="center" wrapText="1"/>
    </xf>
    <xf numFmtId="0" fontId="4" fillId="0" borderId="105" xfId="0" applyFont="1" applyBorder="1" applyAlignment="1">
      <alignment horizontal="left" vertical="center" wrapText="1"/>
    </xf>
    <xf numFmtId="0" fontId="4" fillId="0" borderId="107" xfId="0" applyFont="1" applyBorder="1" applyAlignment="1">
      <alignment horizontal="left" vertical="center" wrapText="1"/>
    </xf>
    <xf numFmtId="0" fontId="4" fillId="0" borderId="29" xfId="0" applyFont="1" applyBorder="1" applyAlignment="1">
      <alignment horizontal="left" vertical="center" wrapText="1"/>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124" fillId="0" borderId="110" xfId="0" applyFont="1" applyBorder="1" applyAlignment="1">
      <alignment horizontal="left" vertical="center" wrapText="1"/>
    </xf>
    <xf numFmtId="0" fontId="124" fillId="0" borderId="111" xfId="0" applyFont="1" applyBorder="1" applyAlignment="1">
      <alignment horizontal="left" vertical="center" wrapText="1"/>
    </xf>
    <xf numFmtId="0" fontId="83" fillId="27" borderId="29" xfId="0" applyFont="1" applyFill="1" applyBorder="1" applyAlignment="1">
      <alignment vertical="center" wrapText="1"/>
    </xf>
    <xf numFmtId="0" fontId="83" fillId="27" borderId="110" xfId="0" applyFont="1" applyFill="1" applyBorder="1" applyAlignment="1">
      <alignment vertical="center" wrapText="1"/>
    </xf>
    <xf numFmtId="0" fontId="83" fillId="27" borderId="111" xfId="0" applyFont="1" applyFill="1" applyBorder="1" applyAlignment="1">
      <alignment vertical="center" wrapText="1"/>
    </xf>
    <xf numFmtId="0" fontId="83" fillId="0" borderId="29" xfId="0" applyFont="1" applyBorder="1" applyAlignment="1">
      <alignment horizontal="left" vertical="center" wrapText="1"/>
    </xf>
    <xf numFmtId="0" fontId="83" fillId="0" borderId="115" xfId="0" applyFont="1" applyBorder="1" applyAlignment="1">
      <alignment horizontal="left" vertical="center"/>
    </xf>
    <xf numFmtId="0" fontId="83" fillId="0" borderId="116" xfId="0" applyFont="1" applyBorder="1" applyAlignment="1">
      <alignment horizontal="left" vertical="center"/>
    </xf>
    <xf numFmtId="0" fontId="83" fillId="0" borderId="68" xfId="0" applyNumberFormat="1" applyFont="1" applyBorder="1" applyAlignment="1">
      <alignment horizontal="left" vertical="center" wrapText="1"/>
    </xf>
    <xf numFmtId="0" fontId="82" fillId="0" borderId="105" xfId="0" applyNumberFormat="1" applyFont="1" applyBorder="1" applyAlignment="1">
      <alignment horizontal="left" vertical="center" wrapText="1"/>
    </xf>
    <xf numFmtId="0" fontId="82" fillId="0" borderId="107" xfId="0" applyNumberFormat="1" applyFont="1" applyBorder="1" applyAlignment="1">
      <alignment horizontal="left" vertical="center" wrapText="1"/>
    </xf>
    <xf numFmtId="0" fontId="83" fillId="0" borderId="114" xfId="0" applyFont="1" applyBorder="1" applyAlignment="1">
      <alignment horizontal="left" vertical="center" wrapText="1"/>
    </xf>
    <xf numFmtId="0" fontId="30" fillId="0" borderId="0" xfId="0" applyFont="1" applyBorder="1" applyAlignment="1">
      <alignment horizontal="left" wrapText="1"/>
    </xf>
    <xf numFmtId="0" fontId="30" fillId="0" borderId="108" xfId="0" applyFont="1" applyBorder="1" applyAlignment="1">
      <alignment horizontal="left"/>
    </xf>
    <xf numFmtId="0" fontId="30" fillId="0" borderId="108" xfId="0" applyFont="1" applyBorder="1" applyAlignment="1">
      <alignment horizontal="left" wrapText="1"/>
    </xf>
    <xf numFmtId="0" fontId="83" fillId="0" borderId="108" xfId="0" applyFont="1" applyBorder="1" applyAlignment="1">
      <alignment horizontal="left" wrapText="1"/>
    </xf>
    <xf numFmtId="0" fontId="82" fillId="0" borderId="108" xfId="0" applyFont="1" applyBorder="1" applyAlignment="1">
      <alignment horizontal="left" wrapText="1"/>
    </xf>
    <xf numFmtId="43" fontId="19" fillId="31" borderId="0" xfId="47" applyFont="1" applyFill="1" applyAlignment="1" applyProtection="1">
      <alignment horizontal="center" vertical="center"/>
    </xf>
    <xf numFmtId="0" fontId="65" fillId="25" borderId="29" xfId="0" applyFont="1" applyFill="1" applyBorder="1" applyAlignment="1">
      <alignment horizontal="center"/>
    </xf>
    <xf numFmtId="0" fontId="65" fillId="25" borderId="110" xfId="0" applyFont="1" applyFill="1" applyBorder="1" applyAlignment="1">
      <alignment horizontal="center"/>
    </xf>
    <xf numFmtId="0" fontId="65" fillId="25" borderId="111" xfId="0" applyFont="1" applyFill="1" applyBorder="1" applyAlignment="1">
      <alignment horizontal="center"/>
    </xf>
    <xf numFmtId="9" fontId="83" fillId="0" borderId="29" xfId="56" applyFont="1" applyBorder="1" applyAlignment="1">
      <alignment horizontal="left" vertical="center" wrapText="1"/>
    </xf>
    <xf numFmtId="9" fontId="83" fillId="0" borderId="110" xfId="56" applyFont="1" applyBorder="1" applyAlignment="1">
      <alignment horizontal="left" vertical="center" wrapText="1"/>
    </xf>
    <xf numFmtId="9" fontId="83" fillId="0" borderId="111" xfId="56" applyFont="1" applyBorder="1" applyAlignment="1">
      <alignment horizontal="left" vertical="center" wrapText="1"/>
    </xf>
    <xf numFmtId="0" fontId="83" fillId="0" borderId="110" xfId="0" applyFont="1" applyBorder="1" applyAlignment="1">
      <alignment horizontal="left" vertical="center"/>
    </xf>
    <xf numFmtId="0" fontId="83" fillId="0" borderId="111" xfId="0" applyFont="1" applyBorder="1" applyAlignment="1">
      <alignment horizontal="left" vertical="center"/>
    </xf>
    <xf numFmtId="43" fontId="63" fillId="31" borderId="0" xfId="39" applyFont="1" applyFill="1" applyAlignment="1" applyProtection="1">
      <alignment horizontal="center" vertical="center"/>
    </xf>
    <xf numFmtId="49" fontId="0" fillId="0" borderId="29" xfId="0" applyNumberFormat="1" applyBorder="1" applyAlignment="1" applyProtection="1">
      <alignment horizontal="center"/>
      <protection locked="0"/>
    </xf>
    <xf numFmtId="49" fontId="0" fillId="0" borderId="111" xfId="0" applyNumberFormat="1" applyBorder="1" applyAlignment="1" applyProtection="1">
      <alignment horizontal="center"/>
      <protection locked="0"/>
    </xf>
    <xf numFmtId="0" fontId="111" fillId="0" borderId="0" xfId="0" applyFont="1" applyAlignment="1" applyProtection="1">
      <alignment horizontal="right"/>
    </xf>
    <xf numFmtId="49" fontId="0" fillId="0" borderId="110" xfId="0" applyNumberFormat="1" applyBorder="1" applyAlignment="1" applyProtection="1">
      <alignment horizontal="center"/>
      <protection locked="0"/>
    </xf>
    <xf numFmtId="0" fontId="111" fillId="0" borderId="48" xfId="0" applyFont="1" applyBorder="1" applyAlignment="1" applyProtection="1">
      <alignment horizontal="right"/>
    </xf>
    <xf numFmtId="0" fontId="111" fillId="0" borderId="146" xfId="0" applyFont="1" applyBorder="1" applyAlignment="1" applyProtection="1">
      <alignment horizontal="right"/>
    </xf>
    <xf numFmtId="3" fontId="132" fillId="0" borderId="29" xfId="0" applyNumberFormat="1" applyFont="1" applyBorder="1" applyAlignment="1" applyProtection="1">
      <alignment horizontal="left"/>
      <protection locked="0"/>
    </xf>
    <xf numFmtId="3" fontId="132" fillId="0" borderId="111" xfId="0" applyNumberFormat="1" applyFont="1" applyBorder="1" applyAlignment="1" applyProtection="1">
      <alignment horizontal="left"/>
      <protection locked="0"/>
    </xf>
    <xf numFmtId="49" fontId="23" fillId="0" borderId="29" xfId="0" applyNumberFormat="1" applyFont="1" applyBorder="1" applyAlignment="1" applyProtection="1">
      <alignment horizontal="left"/>
      <protection locked="0"/>
    </xf>
    <xf numFmtId="49" fontId="133" fillId="0" borderId="110" xfId="0" applyNumberFormat="1" applyFont="1" applyBorder="1" applyAlignment="1" applyProtection="1">
      <alignment horizontal="left"/>
      <protection locked="0"/>
    </xf>
    <xf numFmtId="49" fontId="133" fillId="0" borderId="111" xfId="0" applyNumberFormat="1" applyFont="1" applyBorder="1" applyAlignment="1" applyProtection="1">
      <alignment horizontal="left"/>
      <protection locked="0"/>
    </xf>
    <xf numFmtId="49" fontId="134" fillId="0" borderId="29" xfId="0" applyNumberFormat="1" applyFont="1" applyBorder="1" applyAlignment="1" applyProtection="1">
      <alignment horizontal="center"/>
      <protection locked="0"/>
    </xf>
    <xf numFmtId="49" fontId="0" fillId="0" borderId="29" xfId="0" applyNumberFormat="1" applyBorder="1" applyAlignment="1" applyProtection="1">
      <alignment horizontal="left"/>
      <protection locked="0"/>
    </xf>
    <xf numFmtId="49" fontId="0" fillId="0" borderId="111" xfId="0" applyNumberFormat="1" applyBorder="1" applyAlignment="1" applyProtection="1">
      <alignment horizontal="left"/>
      <protection locked="0"/>
    </xf>
    <xf numFmtId="43" fontId="17" fillId="34" borderId="10" xfId="58" applyFont="1" applyFill="1" applyBorder="1" applyAlignment="1" applyProtection="1">
      <alignment horizontal="center"/>
      <protection locked="0"/>
    </xf>
    <xf numFmtId="49" fontId="0" fillId="0" borderId="110" xfId="0" applyNumberFormat="1" applyBorder="1" applyAlignment="1" applyProtection="1">
      <alignment horizontal="left"/>
      <protection locked="0"/>
    </xf>
    <xf numFmtId="0" fontId="0" fillId="19" borderId="154" xfId="0" applyFill="1" applyBorder="1" applyAlignment="1" applyProtection="1">
      <alignment horizontal="center" vertical="center" textRotation="90"/>
    </xf>
    <xf numFmtId="49" fontId="16" fillId="0" borderId="23" xfId="0" applyNumberFormat="1" applyFont="1" applyBorder="1" applyAlignment="1" applyProtection="1">
      <alignment horizontal="center"/>
    </xf>
    <xf numFmtId="49" fontId="16" fillId="0" borderId="10" xfId="0" applyNumberFormat="1" applyFont="1" applyBorder="1" applyAlignment="1" applyProtection="1">
      <alignment horizontal="center"/>
    </xf>
    <xf numFmtId="0" fontId="111" fillId="0" borderId="0" xfId="0" applyFont="1" applyBorder="1" applyAlignment="1" applyProtection="1">
      <alignment horizontal="right"/>
    </xf>
    <xf numFmtId="0" fontId="0" fillId="27" borderId="29" xfId="0" applyFill="1" applyBorder="1" applyAlignment="1" applyProtection="1">
      <alignment horizontal="center"/>
    </xf>
    <xf numFmtId="0" fontId="0" fillId="27" borderId="111" xfId="0" applyFill="1" applyBorder="1" applyAlignment="1" applyProtection="1">
      <alignment horizontal="center"/>
    </xf>
    <xf numFmtId="49" fontId="4" fillId="29" borderId="132" xfId="0" applyNumberFormat="1" applyFont="1" applyFill="1" applyBorder="1" applyAlignment="1" applyProtection="1">
      <alignment horizontal="left" vertical="center" wrapText="1"/>
      <protection locked="0"/>
    </xf>
    <xf numFmtId="49" fontId="69" fillId="29" borderId="10" xfId="0" applyNumberFormat="1" applyFont="1" applyFill="1" applyBorder="1" applyAlignment="1" applyProtection="1">
      <alignment horizontal="left" vertical="center" wrapText="1"/>
      <protection locked="0"/>
    </xf>
    <xf numFmtId="49" fontId="69" fillId="29" borderId="29" xfId="0" applyNumberFormat="1" applyFont="1" applyFill="1" applyBorder="1" applyAlignment="1" applyProtection="1">
      <alignment horizontal="left" vertical="center" wrapText="1"/>
      <protection locked="0"/>
    </xf>
    <xf numFmtId="49" fontId="69" fillId="29" borderId="132" xfId="0" applyNumberFormat="1" applyFont="1" applyFill="1" applyBorder="1" applyAlignment="1" applyProtection="1">
      <alignment horizontal="left" vertical="center" wrapText="1"/>
      <protection locked="0"/>
    </xf>
    <xf numFmtId="0" fontId="69" fillId="29" borderId="131" xfId="0" applyNumberFormat="1" applyFont="1" applyFill="1" applyBorder="1" applyAlignment="1" applyProtection="1">
      <alignment horizontal="center" vertical="center" wrapText="1"/>
      <protection locked="0"/>
    </xf>
    <xf numFmtId="49" fontId="69" fillId="29" borderId="111" xfId="0" applyNumberFormat="1" applyFont="1" applyFill="1" applyBorder="1" applyAlignment="1" applyProtection="1">
      <alignment horizontal="center" vertical="center" wrapText="1"/>
      <protection locked="0"/>
    </xf>
    <xf numFmtId="43" fontId="16" fillId="0" borderId="147" xfId="0" applyNumberFormat="1" applyFont="1" applyBorder="1" applyAlignment="1" applyProtection="1">
      <alignment horizontal="center"/>
    </xf>
    <xf numFmtId="0" fontId="16" fillId="0" borderId="148" xfId="0" applyFont="1" applyBorder="1" applyAlignment="1" applyProtection="1">
      <alignment horizontal="center"/>
    </xf>
    <xf numFmtId="0" fontId="16" fillId="0" borderId="149" xfId="0" applyFont="1" applyBorder="1" applyAlignment="1" applyProtection="1">
      <alignment horizontal="center"/>
    </xf>
    <xf numFmtId="49" fontId="4" fillId="27" borderId="132" xfId="0" applyNumberFormat="1" applyFont="1" applyFill="1" applyBorder="1" applyAlignment="1" applyProtection="1">
      <alignment horizontal="left" vertical="center" wrapText="1"/>
      <protection locked="0"/>
    </xf>
    <xf numFmtId="49" fontId="69" fillId="27" borderId="10" xfId="0" applyNumberFormat="1" applyFont="1" applyFill="1" applyBorder="1" applyAlignment="1" applyProtection="1">
      <alignment horizontal="left" vertical="center" wrapText="1"/>
      <protection locked="0"/>
    </xf>
    <xf numFmtId="49" fontId="69" fillId="27" borderId="29" xfId="0" applyNumberFormat="1" applyFont="1" applyFill="1" applyBorder="1" applyAlignment="1" applyProtection="1">
      <alignment horizontal="left" vertical="center" wrapText="1"/>
      <protection locked="0"/>
    </xf>
    <xf numFmtId="49" fontId="69" fillId="27" borderId="132" xfId="0" applyNumberFormat="1" applyFont="1" applyFill="1" applyBorder="1" applyAlignment="1" applyProtection="1">
      <alignment horizontal="left" vertical="center" wrapText="1"/>
      <protection locked="0"/>
    </xf>
    <xf numFmtId="0" fontId="86" fillId="0" borderId="150" xfId="0" applyFont="1" applyBorder="1" applyAlignment="1" applyProtection="1">
      <alignment horizontal="right"/>
    </xf>
    <xf numFmtId="0" fontId="116" fillId="0" borderId="150" xfId="0" applyFont="1" applyBorder="1" applyAlignment="1"/>
    <xf numFmtId="15" fontId="119" fillId="0" borderId="10" xfId="58" applyNumberFormat="1" applyFont="1" applyFill="1" applyBorder="1" applyAlignment="1" applyProtection="1">
      <alignment horizontal="center"/>
      <protection locked="0"/>
    </xf>
    <xf numFmtId="15" fontId="130" fillId="0" borderId="10" xfId="58" applyNumberFormat="1" applyFill="1" applyBorder="1" applyAlignment="1" applyProtection="1">
      <alignment horizontal="center"/>
      <protection locked="0"/>
    </xf>
    <xf numFmtId="49" fontId="16" fillId="0" borderId="25" xfId="0" applyNumberFormat="1" applyFont="1" applyBorder="1" applyAlignment="1" applyProtection="1">
      <alignment horizontal="center"/>
    </xf>
    <xf numFmtId="49" fontId="16" fillId="0" borderId="45" xfId="0" applyNumberFormat="1" applyFont="1" applyBorder="1" applyAlignment="1" applyProtection="1">
      <alignment horizontal="center"/>
    </xf>
    <xf numFmtId="49" fontId="4" fillId="32" borderId="132" xfId="0" applyNumberFormat="1" applyFont="1" applyFill="1" applyBorder="1" applyAlignment="1" applyProtection="1">
      <alignment horizontal="center" vertical="center" wrapText="1"/>
      <protection locked="0"/>
    </xf>
    <xf numFmtId="49" fontId="69" fillId="32" borderId="132" xfId="0" applyNumberFormat="1" applyFont="1" applyFill="1" applyBorder="1" applyAlignment="1" applyProtection="1">
      <alignment horizontal="center" vertical="center" wrapText="1"/>
      <protection locked="0"/>
    </xf>
    <xf numFmtId="0" fontId="79" fillId="0" borderId="151" xfId="0" applyFont="1" applyFill="1" applyBorder="1" applyAlignment="1" applyProtection="1">
      <alignment horizontal="center" vertical="center"/>
    </xf>
    <xf numFmtId="0" fontId="79" fillId="0" borderId="152" xfId="0" applyFont="1" applyFill="1" applyBorder="1" applyAlignment="1" applyProtection="1">
      <alignment horizontal="center" vertical="center"/>
    </xf>
    <xf numFmtId="0" fontId="79" fillId="0" borderId="153" xfId="0" applyFont="1" applyFill="1" applyBorder="1" applyAlignment="1" applyProtection="1">
      <alignment horizontal="center" vertical="center"/>
    </xf>
    <xf numFmtId="49" fontId="69" fillId="32" borderId="127" xfId="0" applyNumberFormat="1" applyFont="1" applyFill="1" applyBorder="1" applyAlignment="1" applyProtection="1">
      <alignment horizontal="center" vertical="center" wrapText="1"/>
      <protection locked="0"/>
    </xf>
    <xf numFmtId="49" fontId="69" fillId="32" borderId="128" xfId="0" applyNumberFormat="1" applyFont="1" applyFill="1" applyBorder="1" applyAlignment="1" applyProtection="1">
      <alignment horizontal="center" vertical="center" wrapText="1"/>
      <protection locked="0"/>
    </xf>
    <xf numFmtId="9" fontId="35" fillId="0" borderId="133" xfId="56" applyFont="1" applyFill="1" applyBorder="1" applyAlignment="1" applyProtection="1">
      <alignment horizontal="center" vertical="center"/>
    </xf>
    <xf numFmtId="9" fontId="35" fillId="0" borderId="134" xfId="56" applyFont="1" applyFill="1" applyBorder="1" applyAlignment="1" applyProtection="1">
      <alignment horizontal="center" vertical="center"/>
    </xf>
    <xf numFmtId="9" fontId="35" fillId="0" borderId="135" xfId="56" applyFont="1" applyFill="1" applyBorder="1" applyAlignment="1" applyProtection="1">
      <alignment horizontal="center" vertical="center"/>
    </xf>
    <xf numFmtId="49" fontId="4" fillId="32" borderId="132" xfId="0" applyNumberFormat="1" applyFont="1" applyFill="1" applyBorder="1" applyAlignment="1" applyProtection="1">
      <alignment horizontal="left" vertical="center" wrapText="1"/>
      <protection locked="0"/>
    </xf>
    <xf numFmtId="49" fontId="69" fillId="32" borderId="10" xfId="0" applyNumberFormat="1" applyFont="1" applyFill="1" applyBorder="1" applyAlignment="1" applyProtection="1">
      <alignment horizontal="left" vertical="center" wrapText="1"/>
      <protection locked="0"/>
    </xf>
    <xf numFmtId="49" fontId="69" fillId="32" borderId="29" xfId="0" applyNumberFormat="1" applyFont="1" applyFill="1" applyBorder="1" applyAlignment="1" applyProtection="1">
      <alignment horizontal="left" vertical="center" wrapText="1"/>
      <protection locked="0"/>
    </xf>
    <xf numFmtId="49" fontId="69" fillId="32" borderId="132" xfId="0" applyNumberFormat="1" applyFont="1" applyFill="1" applyBorder="1" applyAlignment="1" applyProtection="1">
      <alignment horizontal="left" vertical="center" wrapText="1"/>
      <protection locked="0"/>
    </xf>
    <xf numFmtId="0" fontId="28" fillId="0" borderId="136" xfId="0" applyFont="1" applyBorder="1" applyAlignment="1" applyProtection="1">
      <alignment horizontal="center" wrapText="1"/>
    </xf>
    <xf numFmtId="0" fontId="28" fillId="0" borderId="137" xfId="0" applyFont="1" applyBorder="1" applyAlignment="1" applyProtection="1">
      <alignment horizontal="center" wrapText="1"/>
    </xf>
    <xf numFmtId="0" fontId="28" fillId="0" borderId="138" xfId="0" applyFont="1" applyBorder="1" applyAlignment="1" applyProtection="1">
      <alignment horizontal="center" wrapText="1"/>
    </xf>
    <xf numFmtId="0" fontId="0" fillId="33" borderId="139" xfId="0" applyFill="1" applyBorder="1" applyAlignment="1" applyProtection="1">
      <alignment horizontal="center"/>
    </xf>
    <xf numFmtId="0" fontId="0" fillId="33" borderId="140" xfId="0" applyFill="1" applyBorder="1" applyAlignment="1" applyProtection="1">
      <alignment horizontal="center"/>
    </xf>
    <xf numFmtId="0" fontId="0" fillId="33" borderId="141" xfId="0" applyFill="1" applyBorder="1" applyAlignment="1" applyProtection="1">
      <alignment horizontal="center"/>
    </xf>
    <xf numFmtId="0" fontId="0" fillId="0" borderId="142" xfId="0" applyBorder="1" applyAlignment="1" applyProtection="1">
      <alignment horizontal="center"/>
    </xf>
    <xf numFmtId="0" fontId="0" fillId="0" borderId="21" xfId="0" applyBorder="1" applyAlignment="1" applyProtection="1">
      <alignment horizontal="center"/>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0" fontId="0" fillId="0" borderId="145" xfId="0" applyFill="1" applyBorder="1" applyAlignment="1" applyProtection="1">
      <alignment horizontal="center" vertical="center"/>
      <protection locked="0"/>
    </xf>
    <xf numFmtId="0" fontId="69" fillId="0" borderId="131" xfId="0" applyFont="1" applyFill="1" applyBorder="1" applyAlignment="1" applyProtection="1">
      <alignment horizontal="center" vertical="center" wrapText="1"/>
    </xf>
    <xf numFmtId="0" fontId="69" fillId="0" borderId="111" xfId="0" applyFont="1" applyFill="1" applyBorder="1" applyAlignment="1" applyProtection="1">
      <alignment horizontal="center" vertical="center" wrapText="1"/>
    </xf>
    <xf numFmtId="49" fontId="69" fillId="29" borderId="127" xfId="0" applyNumberFormat="1" applyFont="1" applyFill="1" applyBorder="1" applyAlignment="1" applyProtection="1">
      <alignment horizontal="center" vertical="center" wrapText="1"/>
      <protection locked="0"/>
    </xf>
    <xf numFmtId="49" fontId="69" fillId="29" borderId="130" xfId="0" applyNumberFormat="1" applyFont="1" applyFill="1" applyBorder="1" applyAlignment="1" applyProtection="1">
      <alignment horizontal="center" vertical="center" wrapText="1"/>
      <protection locked="0"/>
    </xf>
    <xf numFmtId="0" fontId="69" fillId="0" borderId="119" xfId="0" applyFont="1" applyFill="1" applyBorder="1" applyAlignment="1" applyProtection="1">
      <alignment horizontal="left" vertical="center" wrapText="1"/>
    </xf>
    <xf numFmtId="0" fontId="69" fillId="0" borderId="110" xfId="0" applyFont="1" applyFill="1" applyBorder="1" applyAlignment="1" applyProtection="1">
      <alignment horizontal="left" vertical="center" wrapText="1"/>
    </xf>
    <xf numFmtId="0" fontId="69" fillId="0" borderId="120" xfId="0" applyFont="1" applyFill="1" applyBorder="1" applyAlignment="1" applyProtection="1">
      <alignment horizontal="left" vertical="center" wrapText="1"/>
    </xf>
    <xf numFmtId="0" fontId="69" fillId="0" borderId="121" xfId="0" applyFont="1" applyFill="1" applyBorder="1" applyAlignment="1" applyProtection="1">
      <alignment horizontal="left" vertical="center" wrapText="1"/>
    </xf>
    <xf numFmtId="0" fontId="69" fillId="0" borderId="122" xfId="0" applyFont="1" applyFill="1" applyBorder="1" applyAlignment="1" applyProtection="1">
      <alignment horizontal="left" vertical="center" wrapText="1"/>
    </xf>
    <xf numFmtId="0" fontId="69" fillId="0" borderId="123" xfId="0" applyFont="1" applyFill="1" applyBorder="1" applyAlignment="1" applyProtection="1">
      <alignment horizontal="left" vertical="center" wrapText="1"/>
    </xf>
    <xf numFmtId="49" fontId="69" fillId="32" borderId="117" xfId="0" applyNumberFormat="1" applyFont="1" applyFill="1" applyBorder="1" applyAlignment="1" applyProtection="1">
      <alignment horizontal="left" vertical="center" wrapText="1"/>
      <protection locked="0"/>
    </xf>
    <xf numFmtId="49" fontId="69" fillId="32" borderId="115" xfId="0" applyNumberFormat="1" applyFont="1" applyFill="1" applyBorder="1" applyAlignment="1" applyProtection="1">
      <alignment horizontal="left" vertical="center" wrapText="1"/>
      <protection locked="0"/>
    </xf>
    <xf numFmtId="49" fontId="69" fillId="32" borderId="118" xfId="0" applyNumberFormat="1" applyFont="1" applyFill="1" applyBorder="1" applyAlignment="1" applyProtection="1">
      <alignment horizontal="left" vertical="center" wrapText="1"/>
      <protection locked="0"/>
    </xf>
    <xf numFmtId="49" fontId="69" fillId="32" borderId="104" xfId="0" applyNumberFormat="1" applyFont="1" applyFill="1" applyBorder="1" applyAlignment="1" applyProtection="1">
      <alignment horizontal="left" vertical="center" wrapText="1"/>
      <protection locked="0"/>
    </xf>
    <xf numFmtId="49" fontId="69" fillId="32" borderId="105" xfId="0" applyNumberFormat="1" applyFont="1" applyFill="1" applyBorder="1" applyAlignment="1" applyProtection="1">
      <alignment horizontal="left" vertical="center" wrapText="1"/>
      <protection locked="0"/>
    </xf>
    <xf numFmtId="49" fontId="69" fillId="32" borderId="109" xfId="0" applyNumberFormat="1" applyFont="1" applyFill="1" applyBorder="1" applyAlignment="1" applyProtection="1">
      <alignment horizontal="left" vertical="center" wrapText="1"/>
      <protection locked="0"/>
    </xf>
    <xf numFmtId="49" fontId="69" fillId="32" borderId="126" xfId="0" applyNumberFormat="1" applyFont="1" applyFill="1" applyBorder="1" applyAlignment="1" applyProtection="1">
      <alignment horizontal="center" vertical="center" wrapText="1"/>
      <protection locked="0"/>
    </xf>
    <xf numFmtId="49" fontId="69" fillId="32" borderId="106" xfId="0" applyNumberFormat="1" applyFont="1" applyFill="1" applyBorder="1" applyAlignment="1" applyProtection="1">
      <alignment horizontal="center" vertical="center" wrapText="1"/>
      <protection locked="0"/>
    </xf>
    <xf numFmtId="0" fontId="69" fillId="29" borderId="126" xfId="0" applyNumberFormat="1" applyFont="1" applyFill="1" applyBorder="1" applyAlignment="1" applyProtection="1">
      <alignment horizontal="center" vertical="center" wrapText="1"/>
      <protection locked="0"/>
    </xf>
    <xf numFmtId="0" fontId="69" fillId="29" borderId="129" xfId="0" applyNumberFormat="1" applyFont="1" applyFill="1" applyBorder="1" applyAlignment="1" applyProtection="1">
      <alignment horizontal="center" vertical="center" wrapText="1"/>
      <protection locked="0"/>
    </xf>
    <xf numFmtId="49" fontId="69" fillId="29" borderId="117" xfId="0" applyNumberFormat="1" applyFont="1" applyFill="1" applyBorder="1" applyAlignment="1" applyProtection="1">
      <alignment horizontal="left" vertical="center" wrapText="1"/>
      <protection locked="0"/>
    </xf>
    <xf numFmtId="49" fontId="69" fillId="29" borderId="115" xfId="0" applyNumberFormat="1" applyFont="1" applyFill="1" applyBorder="1" applyAlignment="1" applyProtection="1">
      <alignment horizontal="left" vertical="center" wrapText="1"/>
      <protection locked="0"/>
    </xf>
    <xf numFmtId="49" fontId="69" fillId="29" borderId="118" xfId="0" applyNumberFormat="1" applyFont="1" applyFill="1" applyBorder="1" applyAlignment="1" applyProtection="1">
      <alignment horizontal="left" vertical="center" wrapText="1"/>
      <protection locked="0"/>
    </xf>
    <xf numFmtId="49" fontId="69" fillId="29" borderId="104" xfId="0" applyNumberFormat="1" applyFont="1" applyFill="1" applyBorder="1" applyAlignment="1" applyProtection="1">
      <alignment horizontal="left" vertical="center" wrapText="1"/>
      <protection locked="0"/>
    </xf>
    <xf numFmtId="49" fontId="69" fillId="29" borderId="105" xfId="0" applyNumberFormat="1" applyFont="1" applyFill="1" applyBorder="1" applyAlignment="1" applyProtection="1">
      <alignment horizontal="left" vertical="center" wrapText="1"/>
      <protection locked="0"/>
    </xf>
    <xf numFmtId="49" fontId="69" fillId="29" borderId="109" xfId="0" applyNumberFormat="1" applyFont="1" applyFill="1" applyBorder="1" applyAlignment="1" applyProtection="1">
      <alignment horizontal="left" vertical="center" wrapText="1"/>
      <protection locked="0"/>
    </xf>
    <xf numFmtId="49" fontId="69" fillId="29" borderId="124" xfId="0" applyNumberFormat="1" applyFont="1" applyFill="1" applyBorder="1" applyAlignment="1" applyProtection="1">
      <alignment horizontal="left" vertical="center" wrapText="1"/>
      <protection locked="0"/>
    </xf>
    <xf numFmtId="49" fontId="69" fillId="29" borderId="28" xfId="0" applyNumberFormat="1" applyFont="1" applyFill="1" applyBorder="1" applyAlignment="1" applyProtection="1">
      <alignment horizontal="left" vertical="center" wrapText="1"/>
      <protection locked="0"/>
    </xf>
    <xf numFmtId="49" fontId="69" fillId="29" borderId="125" xfId="0" applyNumberFormat="1" applyFont="1" applyFill="1" applyBorder="1" applyAlignment="1" applyProtection="1">
      <alignment horizontal="left" vertical="center" wrapText="1"/>
      <protection locked="0"/>
    </xf>
    <xf numFmtId="43" fontId="101" fillId="31" borderId="0" xfId="39" applyFont="1" applyFill="1" applyAlignment="1" applyProtection="1">
      <alignment horizontal="center" vertical="center"/>
    </xf>
    <xf numFmtId="43" fontId="26" fillId="24" borderId="67" xfId="58" applyFont="1" applyFill="1" applyBorder="1" applyAlignment="1" applyProtection="1">
      <alignment horizontal="left"/>
    </xf>
    <xf numFmtId="43" fontId="35" fillId="24" borderId="0" xfId="50" applyFont="1" applyFill="1" applyAlignment="1" applyProtection="1">
      <alignment horizontal="center" vertical="center" wrapText="1"/>
    </xf>
    <xf numFmtId="172" fontId="26" fillId="24" borderId="67" xfId="58" applyNumberFormat="1" applyFont="1" applyFill="1" applyBorder="1" applyAlignment="1" applyProtection="1">
      <alignment horizontal="left"/>
    </xf>
    <xf numFmtId="43" fontId="3" fillId="0" borderId="67" xfId="58" applyFont="1" applyBorder="1" applyAlignment="1" applyProtection="1">
      <alignment horizontal="right"/>
    </xf>
    <xf numFmtId="43" fontId="3" fillId="0" borderId="67" xfId="58" applyFont="1" applyFill="1" applyBorder="1" applyAlignment="1" applyProtection="1">
      <alignment horizontal="right"/>
    </xf>
    <xf numFmtId="43" fontId="22" fillId="0" borderId="0" xfId="50" applyFont="1" applyFill="1" applyAlignment="1" applyProtection="1">
      <alignment horizontal="right" vertical="center"/>
    </xf>
    <xf numFmtId="43" fontId="26" fillId="24" borderId="0" xfId="50" applyFont="1" applyFill="1" applyAlignment="1" applyProtection="1">
      <alignment horizontal="center" vertical="center" wrapText="1"/>
    </xf>
    <xf numFmtId="43" fontId="114" fillId="30" borderId="67" xfId="58" applyFont="1" applyFill="1" applyBorder="1" applyAlignment="1" applyProtection="1">
      <alignment horizontal="center"/>
    </xf>
    <xf numFmtId="15" fontId="26" fillId="24" borderId="67" xfId="58" applyNumberFormat="1" applyFont="1" applyFill="1" applyBorder="1" applyAlignment="1" applyProtection="1">
      <alignment horizontal="left"/>
    </xf>
    <xf numFmtId="0" fontId="0" fillId="0" borderId="67" xfId="0" applyBorder="1" applyAlignment="1">
      <alignment horizontal="left"/>
    </xf>
    <xf numFmtId="43" fontId="16" fillId="0" borderId="0" xfId="0" applyNumberFormat="1" applyFont="1" applyAlignment="1" applyProtection="1">
      <alignment horizontal="center" wrapText="1"/>
    </xf>
    <xf numFmtId="43" fontId="30" fillId="0" borderId="0" xfId="0" applyNumberFormat="1" applyFont="1" applyAlignment="1" applyProtection="1">
      <alignment horizontal="right"/>
    </xf>
    <xf numFmtId="15" fontId="30" fillId="0" borderId="0" xfId="0" applyNumberFormat="1" applyFont="1" applyAlignment="1" applyProtection="1">
      <alignment horizontal="right"/>
    </xf>
    <xf numFmtId="43" fontId="16" fillId="0" borderId="0" xfId="0" applyNumberFormat="1" applyFont="1" applyAlignment="1" applyProtection="1">
      <alignment horizontal="center"/>
    </xf>
    <xf numFmtId="0" fontId="115" fillId="0" borderId="155" xfId="0" applyFont="1" applyFill="1" applyBorder="1" applyAlignment="1" applyProtection="1">
      <alignment horizontal="left" wrapText="1"/>
    </xf>
    <xf numFmtId="0" fontId="115" fillId="0" borderId="156" xfId="0" applyFont="1" applyFill="1" applyBorder="1" applyAlignment="1" applyProtection="1">
      <alignment horizontal="left" wrapText="1"/>
    </xf>
    <xf numFmtId="43" fontId="30" fillId="0" borderId="0" xfId="0" applyNumberFormat="1" applyFont="1" applyAlignment="1" applyProtection="1">
      <alignment horizontal="left"/>
    </xf>
    <xf numFmtId="43" fontId="17" fillId="30" borderId="0" xfId="58" applyFont="1" applyFill="1" applyBorder="1" applyAlignment="1" applyProtection="1">
      <alignment horizontal="center"/>
    </xf>
    <xf numFmtId="0" fontId="36" fillId="27" borderId="29" xfId="0" applyFont="1" applyFill="1" applyBorder="1" applyAlignment="1" applyProtection="1">
      <alignment horizontal="left" wrapText="1"/>
      <protection locked="0"/>
    </xf>
    <xf numFmtId="0" fontId="36" fillId="27" borderId="110" xfId="0" applyFont="1" applyFill="1" applyBorder="1" applyAlignment="1" applyProtection="1">
      <alignment horizontal="left" wrapText="1"/>
      <protection locked="0"/>
    </xf>
    <xf numFmtId="0" fontId="36" fillId="27" borderId="111" xfId="0" applyFont="1" applyFill="1" applyBorder="1" applyAlignment="1" applyProtection="1">
      <alignment horizontal="left" wrapText="1"/>
      <protection locked="0"/>
    </xf>
    <xf numFmtId="0" fontId="0" fillId="0" borderId="110" xfId="0" applyBorder="1" applyAlignment="1" applyProtection="1">
      <alignment horizontal="left" wrapText="1"/>
      <protection locked="0"/>
    </xf>
    <xf numFmtId="0" fontId="0" fillId="0" borderId="111" xfId="0" applyBorder="1" applyAlignment="1" applyProtection="1">
      <alignment horizontal="left" wrapText="1"/>
      <protection locked="0"/>
    </xf>
    <xf numFmtId="0" fontId="108" fillId="0" borderId="0" xfId="0" applyFont="1" applyAlignment="1" applyProtection="1">
      <alignment horizontal="center"/>
    </xf>
    <xf numFmtId="43" fontId="107" fillId="0" borderId="139" xfId="0" applyNumberFormat="1" applyFont="1" applyBorder="1" applyAlignment="1" applyProtection="1">
      <alignment horizontal="center" vertical="center" wrapText="1"/>
    </xf>
    <xf numFmtId="43" fontId="107" fillId="0" borderId="140" xfId="0" applyNumberFormat="1" applyFont="1" applyBorder="1" applyAlignment="1" applyProtection="1">
      <alignment horizontal="center" vertical="center" wrapText="1"/>
    </xf>
    <xf numFmtId="43" fontId="107" fillId="0" borderId="141" xfId="0" applyNumberFormat="1" applyFont="1" applyBorder="1" applyAlignment="1" applyProtection="1">
      <alignment horizontal="center" vertical="center" wrapText="1"/>
    </xf>
    <xf numFmtId="0" fontId="0" fillId="0" borderId="157" xfId="0" applyBorder="1" applyAlignment="1" applyProtection="1">
      <alignment horizontal="center"/>
    </xf>
    <xf numFmtId="0" fontId="0" fillId="0" borderId="64" xfId="0" applyBorder="1" applyAlignment="1" applyProtection="1">
      <alignment horizontal="center"/>
    </xf>
    <xf numFmtId="0" fontId="115" fillId="0" borderId="158" xfId="0" applyFont="1" applyFill="1" applyBorder="1" applyAlignment="1" applyProtection="1">
      <alignment horizontal="left" wrapText="1"/>
    </xf>
    <xf numFmtId="0" fontId="115" fillId="0" borderId="94" xfId="0" applyFont="1" applyFill="1" applyBorder="1" applyAlignment="1" applyProtection="1">
      <alignment horizontal="left" wrapText="1"/>
    </xf>
    <xf numFmtId="0" fontId="32" fillId="27" borderId="29" xfId="0" applyFont="1" applyFill="1" applyBorder="1" applyAlignment="1" applyProtection="1">
      <alignment horizontal="left" wrapText="1"/>
      <protection locked="0"/>
    </xf>
    <xf numFmtId="0" fontId="87" fillId="0" borderId="0" xfId="0" applyFont="1" applyAlignment="1">
      <alignment horizontal="left" wrapText="1"/>
    </xf>
    <xf numFmtId="43" fontId="30" fillId="0" borderId="0" xfId="0" applyNumberFormat="1" applyFont="1" applyAlignment="1">
      <alignment horizontal="left"/>
    </xf>
    <xf numFmtId="43" fontId="16" fillId="0" borderId="0" xfId="0" applyNumberFormat="1" applyFont="1" applyAlignment="1">
      <alignment horizontal="center"/>
    </xf>
    <xf numFmtId="43" fontId="63" fillId="31" borderId="0" xfId="48" applyFont="1" applyFill="1" applyAlignment="1">
      <alignment horizontal="center" vertical="center"/>
    </xf>
    <xf numFmtId="0" fontId="108" fillId="0" borderId="0" xfId="0" applyFont="1" applyAlignment="1">
      <alignment horizontal="center"/>
    </xf>
    <xf numFmtId="43" fontId="30" fillId="0" borderId="0" xfId="0" applyNumberFormat="1" applyFont="1" applyAlignment="1">
      <alignment horizontal="right"/>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15" fontId="30" fillId="0" borderId="0" xfId="0" applyNumberFormat="1" applyFont="1" applyAlignment="1">
      <alignment horizontal="right"/>
    </xf>
    <xf numFmtId="0" fontId="16" fillId="0" borderId="0" xfId="0" applyFont="1" applyBorder="1" applyAlignment="1">
      <alignment horizontal="center"/>
    </xf>
    <xf numFmtId="0" fontId="0" fillId="0" borderId="0" xfId="0" applyBorder="1" applyAlignment="1">
      <alignment horizontal="center"/>
    </xf>
    <xf numFmtId="9" fontId="36" fillId="27" borderId="10" xfId="56" applyFont="1" applyFill="1" applyBorder="1" applyAlignment="1" applyProtection="1">
      <alignment horizontal="left" vertical="center" wrapText="1"/>
      <protection locked="0"/>
    </xf>
    <xf numFmtId="9" fontId="30" fillId="0" borderId="29" xfId="56" applyFont="1" applyBorder="1" applyAlignment="1" applyProtection="1">
      <alignment horizontal="center" vertical="center" wrapText="1"/>
    </xf>
    <xf numFmtId="9" fontId="30" fillId="0" borderId="110" xfId="56" applyFont="1" applyBorder="1" applyAlignment="1" applyProtection="1">
      <alignment horizontal="center" vertical="center" wrapText="1"/>
    </xf>
    <xf numFmtId="9" fontId="30" fillId="0" borderId="111" xfId="56" applyFont="1" applyBorder="1" applyAlignment="1" applyProtection="1">
      <alignment horizontal="center" vertical="center" wrapText="1"/>
    </xf>
    <xf numFmtId="0" fontId="36" fillId="20" borderId="0" xfId="0" applyFont="1" applyFill="1" applyBorder="1" applyAlignment="1" applyProtection="1">
      <alignment horizontal="left"/>
    </xf>
    <xf numFmtId="0" fontId="36" fillId="20" borderId="0" xfId="0" applyFont="1" applyFill="1" applyAlignment="1" applyProtection="1">
      <alignment horizontal="left"/>
      <protection locked="0"/>
    </xf>
    <xf numFmtId="0" fontId="36" fillId="20" borderId="42" xfId="0" applyFont="1" applyFill="1" applyBorder="1" applyAlignment="1" applyProtection="1">
      <alignment horizontal="left"/>
      <protection locked="0"/>
    </xf>
    <xf numFmtId="0" fontId="36" fillId="20" borderId="159" xfId="0" applyFont="1" applyFill="1" applyBorder="1" applyAlignment="1" applyProtection="1">
      <alignment horizontal="left"/>
      <protection locked="0"/>
    </xf>
    <xf numFmtId="0" fontId="36" fillId="20" borderId="0" xfId="0" applyFont="1" applyFill="1" applyBorder="1" applyAlignment="1" applyProtection="1">
      <alignment horizontal="left"/>
      <protection locked="0"/>
    </xf>
    <xf numFmtId="0" fontId="36" fillId="0" borderId="10" xfId="0" applyFont="1" applyBorder="1" applyAlignment="1" applyProtection="1">
      <alignment vertical="center" wrapText="1"/>
    </xf>
    <xf numFmtId="9" fontId="36" fillId="27" borderId="29" xfId="56" applyFont="1" applyFill="1" applyBorder="1" applyAlignment="1" applyProtection="1">
      <alignment horizontal="left" vertical="center" wrapText="1"/>
      <protection locked="0"/>
    </xf>
    <xf numFmtId="9" fontId="36" fillId="27" borderId="110" xfId="56" applyFont="1" applyFill="1" applyBorder="1" applyAlignment="1" applyProtection="1">
      <alignment horizontal="left" vertical="center" wrapText="1"/>
      <protection locked="0"/>
    </xf>
    <xf numFmtId="9" fontId="36" fillId="27" borderId="111" xfId="56" applyFont="1" applyFill="1" applyBorder="1" applyAlignment="1" applyProtection="1">
      <alignment horizontal="left" vertical="center" wrapText="1"/>
      <protection locked="0"/>
    </xf>
    <xf numFmtId="0" fontId="36" fillId="27" borderId="29" xfId="0" applyFont="1" applyFill="1" applyBorder="1" applyAlignment="1" applyProtection="1">
      <alignment horizontal="left" vertical="top" wrapText="1"/>
      <protection locked="0"/>
    </xf>
    <xf numFmtId="0" fontId="36" fillId="27" borderId="110" xfId="0" applyFont="1" applyFill="1" applyBorder="1" applyAlignment="1" applyProtection="1">
      <alignment horizontal="left" vertical="top" wrapText="1"/>
      <protection locked="0"/>
    </xf>
    <xf numFmtId="0" fontId="36" fillId="27" borderId="111" xfId="0" applyFont="1" applyFill="1" applyBorder="1" applyAlignment="1" applyProtection="1">
      <alignment horizontal="left" vertical="top" wrapText="1"/>
      <protection locked="0"/>
    </xf>
    <xf numFmtId="0" fontId="36" fillId="0" borderId="115" xfId="0" applyFont="1" applyBorder="1" applyAlignment="1" applyProtection="1">
      <alignment horizontal="left" vertical="center" wrapText="1"/>
    </xf>
    <xf numFmtId="0" fontId="36" fillId="0" borderId="2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111" xfId="0" applyFont="1" applyBorder="1" applyAlignment="1" applyProtection="1">
      <alignment horizontal="center" vertical="center"/>
    </xf>
    <xf numFmtId="0" fontId="36" fillId="0" borderId="10" xfId="0" applyFont="1" applyBorder="1" applyAlignment="1" applyProtection="1">
      <alignment horizontal="center" vertical="center" wrapText="1"/>
    </xf>
    <xf numFmtId="0" fontId="0" fillId="0" borderId="110"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9" fontId="39" fillId="33" borderId="29" xfId="56" applyFont="1" applyFill="1" applyBorder="1" applyAlignment="1" applyProtection="1">
      <alignment horizontal="center" vertical="center" wrapText="1"/>
    </xf>
    <xf numFmtId="9" fontId="39" fillId="33" borderId="111" xfId="56" applyFont="1" applyFill="1" applyBorder="1" applyAlignment="1" applyProtection="1">
      <alignment horizontal="center" vertical="center" wrapText="1"/>
    </xf>
    <xf numFmtId="9" fontId="39" fillId="35" borderId="29" xfId="56" applyFont="1" applyFill="1" applyBorder="1" applyAlignment="1" applyProtection="1">
      <alignment horizontal="center" vertical="center" wrapText="1"/>
    </xf>
    <xf numFmtId="9" fontId="39" fillId="35" borderId="111" xfId="56" applyFont="1" applyFill="1" applyBorder="1" applyAlignment="1" applyProtection="1">
      <alignment horizontal="center" vertical="center" wrapText="1"/>
    </xf>
    <xf numFmtId="0" fontId="35" fillId="0" borderId="105" xfId="0" applyFont="1" applyBorder="1" applyAlignment="1" applyProtection="1">
      <alignment horizontal="center"/>
    </xf>
    <xf numFmtId="0" fontId="36" fillId="20" borderId="0" xfId="0" applyFont="1" applyFill="1" applyAlignment="1" applyProtection="1">
      <alignment horizontal="center" vertical="center" wrapText="1"/>
    </xf>
    <xf numFmtId="0" fontId="36" fillId="0" borderId="29" xfId="0" applyFont="1" applyBorder="1" applyAlignment="1" applyProtection="1">
      <alignment vertical="center" wrapText="1"/>
    </xf>
    <xf numFmtId="0" fontId="36" fillId="0" borderId="110" xfId="0" applyFont="1" applyBorder="1" applyAlignment="1" applyProtection="1">
      <alignment vertical="center" wrapText="1"/>
    </xf>
    <xf numFmtId="0" fontId="36" fillId="0" borderId="111" xfId="0" applyFont="1" applyBorder="1" applyAlignment="1" applyProtection="1">
      <alignment vertical="center" wrapText="1"/>
    </xf>
    <xf numFmtId="0" fontId="36" fillId="20" borderId="115" xfId="0" applyFont="1" applyFill="1" applyBorder="1" applyAlignment="1" applyProtection="1">
      <alignment horizontal="left"/>
    </xf>
    <xf numFmtId="0" fontId="36" fillId="20" borderId="115" xfId="0" applyFont="1" applyFill="1" applyBorder="1" applyAlignment="1" applyProtection="1">
      <alignment horizontal="left" vertical="center" wrapText="1"/>
    </xf>
    <xf numFmtId="43" fontId="63" fillId="31" borderId="0" xfId="48" applyFont="1" applyFill="1" applyAlignment="1" applyProtection="1">
      <alignment horizontal="center" vertical="center"/>
    </xf>
    <xf numFmtId="43" fontId="108" fillId="0" borderId="0" xfId="0" applyNumberFormat="1" applyFont="1" applyAlignment="1" applyProtection="1">
      <alignment horizontal="center"/>
    </xf>
    <xf numFmtId="43" fontId="35" fillId="0" borderId="0" xfId="0" applyNumberFormat="1" applyFont="1" applyAlignment="1" applyProtection="1">
      <alignment horizontal="center"/>
    </xf>
    <xf numFmtId="43" fontId="17" fillId="30" borderId="0" xfId="59" applyFont="1" applyFill="1" applyBorder="1" applyAlignment="1" applyProtection="1">
      <alignment horizontal="center"/>
    </xf>
    <xf numFmtId="0" fontId="4" fillId="36" borderId="210" xfId="0" applyFont="1" applyFill="1" applyBorder="1" applyAlignment="1" applyProtection="1">
      <alignment horizontal="center" vertical="top" wrapText="1"/>
      <protection locked="0"/>
    </xf>
    <xf numFmtId="0" fontId="4" fillId="36" borderId="211" xfId="0" applyFont="1" applyFill="1" applyBorder="1" applyAlignment="1" applyProtection="1">
      <alignment horizontal="center" vertical="top" wrapText="1"/>
      <protection locked="0"/>
    </xf>
    <xf numFmtId="0" fontId="4" fillId="36" borderId="212" xfId="0" applyFont="1" applyFill="1" applyBorder="1" applyAlignment="1" applyProtection="1">
      <alignment horizontal="center" vertical="top" wrapText="1"/>
      <protection locked="0"/>
    </xf>
    <xf numFmtId="0" fontId="4" fillId="36" borderId="197" xfId="0" applyFont="1" applyFill="1" applyBorder="1" applyAlignment="1" applyProtection="1">
      <alignment horizontal="center" vertical="top" wrapText="1"/>
      <protection locked="0"/>
    </xf>
    <xf numFmtId="0" fontId="4" fillId="36" borderId="198" xfId="0" applyFont="1" applyFill="1" applyBorder="1" applyAlignment="1" applyProtection="1">
      <alignment horizontal="center" vertical="top" wrapText="1"/>
      <protection locked="0"/>
    </xf>
    <xf numFmtId="0" fontId="4" fillId="36" borderId="199" xfId="0" applyFont="1" applyFill="1" applyBorder="1" applyAlignment="1" applyProtection="1">
      <alignment horizontal="center" vertical="top" wrapText="1"/>
      <protection locked="0"/>
    </xf>
    <xf numFmtId="9" fontId="4" fillId="0" borderId="162" xfId="56" applyNumberFormat="1" applyFont="1" applyFill="1" applyBorder="1" applyAlignment="1" applyProtection="1">
      <alignment horizontal="left" vertical="center" wrapText="1"/>
    </xf>
    <xf numFmtId="0" fontId="4" fillId="0" borderId="163" xfId="56" applyNumberFormat="1" applyFont="1" applyFill="1" applyBorder="1" applyAlignment="1" applyProtection="1">
      <alignment horizontal="left" vertical="center" wrapText="1"/>
    </xf>
    <xf numFmtId="0" fontId="4" fillId="0" borderId="164" xfId="56" applyNumberFormat="1" applyFont="1" applyFill="1" applyBorder="1" applyAlignment="1" applyProtection="1">
      <alignment horizontal="left" vertical="center" wrapText="1"/>
    </xf>
    <xf numFmtId="0" fontId="4" fillId="37" borderId="177" xfId="0" applyFont="1" applyFill="1" applyBorder="1" applyAlignment="1" applyProtection="1">
      <alignment horizontal="center" vertical="top" wrapText="1"/>
      <protection locked="0"/>
    </xf>
    <xf numFmtId="0" fontId="4" fillId="37" borderId="178" xfId="0" applyFont="1" applyFill="1" applyBorder="1" applyAlignment="1" applyProtection="1">
      <alignment horizontal="center" vertical="top" wrapText="1"/>
      <protection locked="0"/>
    </xf>
    <xf numFmtId="0" fontId="4" fillId="37" borderId="179" xfId="0" applyFont="1" applyFill="1" applyBorder="1" applyAlignment="1" applyProtection="1">
      <alignment horizontal="center" vertical="top" wrapText="1"/>
      <protection locked="0"/>
    </xf>
    <xf numFmtId="0" fontId="62" fillId="27" borderId="174" xfId="0" applyFont="1" applyFill="1" applyBorder="1" applyAlignment="1" applyProtection="1">
      <alignment horizontal="center" vertical="center"/>
    </xf>
    <xf numFmtId="0" fontId="62" fillId="27" borderId="175" xfId="0" applyFont="1" applyFill="1" applyBorder="1" applyAlignment="1" applyProtection="1">
      <alignment horizontal="center" vertical="center"/>
    </xf>
    <xf numFmtId="0" fontId="62" fillId="27" borderId="176" xfId="0" applyFont="1" applyFill="1" applyBorder="1" applyAlignment="1" applyProtection="1">
      <alignment horizontal="center" vertical="center"/>
    </xf>
    <xf numFmtId="0" fontId="82" fillId="0" borderId="160" xfId="0" applyNumberFormat="1" applyFont="1" applyFill="1" applyBorder="1" applyAlignment="1" applyProtection="1">
      <alignment horizontal="left" vertical="top" wrapText="1"/>
    </xf>
    <xf numFmtId="0" fontId="82" fillId="0" borderId="196" xfId="0" applyNumberFormat="1" applyFont="1" applyFill="1" applyBorder="1" applyAlignment="1" applyProtection="1">
      <alignment horizontal="left" vertical="top" wrapText="1"/>
    </xf>
    <xf numFmtId="49" fontId="4" fillId="38" borderId="193" xfId="0" applyNumberFormat="1" applyFont="1" applyFill="1" applyBorder="1" applyAlignment="1" applyProtection="1">
      <alignment horizontal="center" vertical="center"/>
      <protection locked="0"/>
    </xf>
    <xf numFmtId="49" fontId="4" fillId="38" borderId="163" xfId="0" applyNumberFormat="1" applyFont="1" applyFill="1" applyBorder="1" applyAlignment="1" applyProtection="1">
      <alignment horizontal="center" vertical="center"/>
      <protection locked="0"/>
    </xf>
    <xf numFmtId="49" fontId="4" fillId="38" borderId="194" xfId="0" applyNumberFormat="1" applyFont="1" applyFill="1" applyBorder="1" applyAlignment="1" applyProtection="1">
      <alignment horizontal="center" vertical="center"/>
      <protection locked="0"/>
    </xf>
    <xf numFmtId="0" fontId="82" fillId="0" borderId="161" xfId="0" applyNumberFormat="1" applyFont="1" applyFill="1" applyBorder="1" applyAlignment="1" applyProtection="1">
      <alignment horizontal="left" vertical="top" wrapText="1"/>
    </xf>
    <xf numFmtId="0" fontId="4" fillId="37" borderId="180" xfId="0" applyFont="1" applyFill="1" applyBorder="1" applyAlignment="1" applyProtection="1">
      <alignment horizontal="center" vertical="top" wrapText="1"/>
      <protection locked="0"/>
    </xf>
    <xf numFmtId="0" fontId="4" fillId="37" borderId="181" xfId="0" applyFont="1" applyFill="1" applyBorder="1" applyAlignment="1" applyProtection="1">
      <alignment horizontal="center" vertical="top" wrapText="1"/>
      <protection locked="0"/>
    </xf>
    <xf numFmtId="0" fontId="4" fillId="37" borderId="182" xfId="0" applyFont="1" applyFill="1" applyBorder="1" applyAlignment="1" applyProtection="1">
      <alignment horizontal="center" vertical="top" wrapText="1"/>
      <protection locked="0"/>
    </xf>
    <xf numFmtId="0" fontId="80" fillId="0" borderId="0" xfId="0" applyFont="1" applyFill="1" applyBorder="1" applyAlignment="1" applyProtection="1">
      <alignment horizontal="center"/>
    </xf>
    <xf numFmtId="0" fontId="80" fillId="0" borderId="195" xfId="0" applyFont="1" applyFill="1" applyBorder="1" applyAlignment="1" applyProtection="1">
      <alignment horizontal="center"/>
    </xf>
    <xf numFmtId="49" fontId="4" fillId="38" borderId="200" xfId="0" applyNumberFormat="1" applyFont="1" applyFill="1" applyBorder="1" applyAlignment="1" applyProtection="1">
      <alignment horizontal="center" vertical="center"/>
      <protection locked="0"/>
    </xf>
    <xf numFmtId="49" fontId="4" fillId="38" borderId="14" xfId="0" applyNumberFormat="1" applyFont="1" applyFill="1" applyBorder="1" applyAlignment="1" applyProtection="1">
      <alignment horizontal="center" vertical="center"/>
      <protection locked="0"/>
    </xf>
    <xf numFmtId="49" fontId="4" fillId="38" borderId="201" xfId="0" applyNumberFormat="1" applyFont="1" applyFill="1" applyBorder="1" applyAlignment="1" applyProtection="1">
      <alignment horizontal="center" vertical="center"/>
      <protection locked="0"/>
    </xf>
    <xf numFmtId="0" fontId="118" fillId="24" borderId="202" xfId="0" applyFont="1" applyFill="1" applyBorder="1" applyAlignment="1" applyProtection="1">
      <alignment horizontal="center" vertical="center"/>
    </xf>
    <xf numFmtId="0" fontId="118" fillId="24" borderId="203" xfId="0" applyFont="1" applyFill="1" applyBorder="1" applyAlignment="1" applyProtection="1">
      <alignment horizontal="center" vertical="center"/>
    </xf>
    <xf numFmtId="0" fontId="0" fillId="0" borderId="203" xfId="0" applyBorder="1" applyAlignment="1">
      <alignment horizontal="center" vertical="center"/>
    </xf>
    <xf numFmtId="0" fontId="81" fillId="19" borderId="12" xfId="0" applyFont="1" applyFill="1" applyBorder="1" applyAlignment="1" applyProtection="1">
      <alignment horizontal="center" vertical="center"/>
    </xf>
    <xf numFmtId="0" fontId="4" fillId="0" borderId="162" xfId="56" applyNumberFormat="1" applyFont="1" applyFill="1" applyBorder="1" applyAlignment="1" applyProtection="1">
      <alignment horizontal="left" vertical="center" wrapText="1"/>
    </xf>
    <xf numFmtId="0" fontId="80" fillId="0" borderId="165" xfId="0" applyFont="1" applyFill="1" applyBorder="1" applyAlignment="1" applyProtection="1">
      <alignment horizontal="center"/>
    </xf>
    <xf numFmtId="0" fontId="4" fillId="36" borderId="166" xfId="0" applyFont="1" applyFill="1" applyBorder="1" applyAlignment="1" applyProtection="1">
      <alignment horizontal="center" vertical="top" wrapText="1"/>
      <protection locked="0"/>
    </xf>
    <xf numFmtId="0" fontId="4" fillId="36" borderId="167" xfId="0" applyFont="1" applyFill="1" applyBorder="1" applyAlignment="1" applyProtection="1">
      <alignment horizontal="center" vertical="top" wrapText="1"/>
      <protection locked="0"/>
    </xf>
    <xf numFmtId="0" fontId="4" fillId="36" borderId="168" xfId="0" applyFont="1" applyFill="1" applyBorder="1" applyAlignment="1" applyProtection="1">
      <alignment horizontal="center" vertical="top" wrapText="1"/>
      <protection locked="0"/>
    </xf>
    <xf numFmtId="0" fontId="82" fillId="0" borderId="169" xfId="0" applyNumberFormat="1" applyFont="1" applyFill="1" applyBorder="1" applyAlignment="1" applyProtection="1">
      <alignment horizontal="left" vertical="top" wrapText="1"/>
    </xf>
    <xf numFmtId="0" fontId="82" fillId="0" borderId="170" xfId="0" applyNumberFormat="1" applyFont="1" applyFill="1" applyBorder="1" applyAlignment="1" applyProtection="1">
      <alignment horizontal="left" vertical="top" wrapText="1"/>
    </xf>
    <xf numFmtId="0" fontId="82" fillId="0" borderId="171" xfId="0" applyNumberFormat="1" applyFont="1" applyFill="1" applyBorder="1" applyAlignment="1" applyProtection="1">
      <alignment horizontal="left" vertical="center" wrapText="1"/>
    </xf>
    <xf numFmtId="0" fontId="82" fillId="0" borderId="172" xfId="0" applyNumberFormat="1" applyFont="1" applyFill="1" applyBorder="1" applyAlignment="1" applyProtection="1">
      <alignment horizontal="left" vertical="center" wrapText="1"/>
    </xf>
    <xf numFmtId="0" fontId="82" fillId="0" borderId="173" xfId="0" applyNumberFormat="1" applyFont="1" applyFill="1" applyBorder="1" applyAlignment="1" applyProtection="1">
      <alignment horizontal="left" vertical="center" wrapText="1"/>
    </xf>
    <xf numFmtId="0" fontId="108" fillId="0" borderId="0" xfId="0" applyFont="1" applyBorder="1" applyAlignment="1" applyProtection="1">
      <alignment horizontal="center"/>
    </xf>
    <xf numFmtId="0" fontId="82" fillId="0" borderId="183" xfId="0" applyNumberFormat="1" applyFont="1" applyFill="1" applyBorder="1" applyAlignment="1" applyProtection="1">
      <alignment horizontal="left" vertical="top" wrapText="1"/>
    </xf>
    <xf numFmtId="0" fontId="82" fillId="0" borderId="184" xfId="0" applyNumberFormat="1" applyFont="1" applyFill="1" applyBorder="1" applyAlignment="1" applyProtection="1">
      <alignment horizontal="left" vertical="top" wrapText="1"/>
    </xf>
    <xf numFmtId="0" fontId="4" fillId="37" borderId="185" xfId="0" applyFont="1" applyFill="1" applyBorder="1" applyAlignment="1" applyProtection="1">
      <alignment horizontal="center" vertical="top" wrapText="1"/>
      <protection locked="0"/>
    </xf>
    <xf numFmtId="0" fontId="4" fillId="37" borderId="186" xfId="0" applyFont="1" applyFill="1" applyBorder="1" applyAlignment="1" applyProtection="1">
      <alignment horizontal="center" vertical="top" wrapText="1"/>
      <protection locked="0"/>
    </xf>
    <xf numFmtId="0" fontId="4" fillId="37" borderId="187" xfId="0" applyFont="1" applyFill="1" applyBorder="1" applyAlignment="1" applyProtection="1">
      <alignment horizontal="center" vertical="top" wrapText="1"/>
      <protection locked="0"/>
    </xf>
    <xf numFmtId="0" fontId="62" fillId="25" borderId="190" xfId="0" applyFont="1" applyFill="1" applyBorder="1" applyAlignment="1" applyProtection="1">
      <alignment horizontal="center" vertical="center"/>
    </xf>
    <xf numFmtId="0" fontId="62" fillId="25" borderId="191" xfId="0" applyFont="1" applyFill="1" applyBorder="1" applyAlignment="1" applyProtection="1">
      <alignment horizontal="center" vertical="center"/>
    </xf>
    <xf numFmtId="0" fontId="62" fillId="25" borderId="192" xfId="0" applyFont="1" applyFill="1" applyBorder="1" applyAlignment="1" applyProtection="1">
      <alignment horizontal="center" vertical="center"/>
    </xf>
    <xf numFmtId="49" fontId="4" fillId="38" borderId="204" xfId="0" applyNumberFormat="1" applyFont="1" applyFill="1" applyBorder="1" applyAlignment="1" applyProtection="1">
      <alignment horizontal="center" vertical="center"/>
      <protection locked="0"/>
    </xf>
    <xf numFmtId="49" fontId="4" fillId="38" borderId="205" xfId="0" applyNumberFormat="1" applyFont="1" applyFill="1" applyBorder="1" applyAlignment="1" applyProtection="1">
      <alignment horizontal="center" vertical="center"/>
      <protection locked="0"/>
    </xf>
    <xf numFmtId="49" fontId="4" fillId="38" borderId="206" xfId="0" applyNumberFormat="1" applyFont="1" applyFill="1" applyBorder="1" applyAlignment="1" applyProtection="1">
      <alignment horizontal="center" vertical="center"/>
      <protection locked="0"/>
    </xf>
    <xf numFmtId="0" fontId="118" fillId="24" borderId="207" xfId="0" applyFont="1" applyFill="1" applyBorder="1" applyAlignment="1" applyProtection="1">
      <alignment horizontal="center" vertical="center"/>
    </xf>
    <xf numFmtId="0" fontId="118" fillId="24" borderId="208" xfId="0" applyFont="1" applyFill="1" applyBorder="1" applyAlignment="1" applyProtection="1">
      <alignment horizontal="center" vertical="center"/>
    </xf>
    <xf numFmtId="0" fontId="118" fillId="24" borderId="209" xfId="0" applyFont="1" applyFill="1" applyBorder="1" applyAlignment="1" applyProtection="1">
      <alignment horizontal="center" vertical="center"/>
    </xf>
    <xf numFmtId="0" fontId="82" fillId="0" borderId="188" xfId="0" applyNumberFormat="1" applyFont="1" applyFill="1" applyBorder="1" applyAlignment="1" applyProtection="1">
      <alignment horizontal="left" vertical="top" wrapText="1"/>
    </xf>
    <xf numFmtId="0" fontId="82" fillId="0" borderId="189" xfId="0" applyNumberFormat="1" applyFont="1" applyFill="1" applyBorder="1" applyAlignment="1" applyProtection="1">
      <alignment horizontal="left" vertical="top" wrapText="1"/>
    </xf>
    <xf numFmtId="0" fontId="23" fillId="0" borderId="215" xfId="0" applyFont="1" applyBorder="1" applyAlignment="1" applyProtection="1">
      <alignment horizontal="left"/>
      <protection locked="0"/>
    </xf>
    <xf numFmtId="0" fontId="23" fillId="0" borderId="220" xfId="0" applyFont="1" applyBorder="1" applyAlignment="1" applyProtection="1">
      <alignment horizontal="left"/>
      <protection locked="0"/>
    </xf>
    <xf numFmtId="0" fontId="23" fillId="0" borderId="223" xfId="0" applyFont="1" applyBorder="1" applyAlignment="1" applyProtection="1">
      <alignment horizontal="left"/>
      <protection locked="0"/>
    </xf>
    <xf numFmtId="0" fontId="23" fillId="0" borderId="229" xfId="0" applyFont="1" applyBorder="1" applyAlignment="1" applyProtection="1">
      <alignment horizontal="left"/>
      <protection locked="0"/>
    </xf>
    <xf numFmtId="0" fontId="23" fillId="0" borderId="38" xfId="0" applyFont="1" applyBorder="1" applyAlignment="1" applyProtection="1">
      <alignment horizontal="left"/>
      <protection locked="0"/>
    </xf>
    <xf numFmtId="0" fontId="23" fillId="0" borderId="239" xfId="0" applyFont="1" applyBorder="1" applyAlignment="1" applyProtection="1">
      <alignment horizontal="left"/>
      <protection locked="0"/>
    </xf>
    <xf numFmtId="43" fontId="17" fillId="30" borderId="0" xfId="60" applyFont="1" applyFill="1" applyBorder="1" applyAlignment="1" applyProtection="1">
      <alignment horizontal="center"/>
      <protection locked="0"/>
    </xf>
    <xf numFmtId="0" fontId="23" fillId="0" borderId="38" xfId="0" applyFont="1" applyFill="1" applyBorder="1" applyAlignment="1" applyProtection="1">
      <alignment horizontal="left"/>
      <protection locked="0"/>
    </xf>
    <xf numFmtId="0" fontId="23" fillId="0" borderId="239" xfId="0" applyFont="1" applyFill="1" applyBorder="1" applyAlignment="1" applyProtection="1">
      <alignment horizontal="left"/>
      <protection locked="0"/>
    </xf>
    <xf numFmtId="0" fontId="23" fillId="0" borderId="215" xfId="0" applyFont="1" applyFill="1" applyBorder="1" applyAlignment="1" applyProtection="1">
      <alignment horizontal="left"/>
      <protection locked="0"/>
    </xf>
    <xf numFmtId="0" fontId="23" fillId="0" borderId="220" xfId="0" applyFont="1" applyFill="1" applyBorder="1" applyAlignment="1" applyProtection="1">
      <alignment horizontal="left"/>
      <protection locked="0"/>
    </xf>
    <xf numFmtId="0" fontId="79" fillId="21" borderId="232" xfId="53" applyNumberFormat="1" applyFont="1" applyFill="1" applyBorder="1" applyAlignment="1">
      <alignment horizontal="center" vertical="center" wrapText="1"/>
    </xf>
    <xf numFmtId="0" fontId="79" fillId="21" borderId="233" xfId="53" applyNumberFormat="1" applyFont="1" applyFill="1" applyBorder="1" applyAlignment="1">
      <alignment horizontal="center" vertical="center" wrapText="1"/>
    </xf>
    <xf numFmtId="0" fontId="79" fillId="21" borderId="234" xfId="53" applyNumberFormat="1" applyFont="1" applyFill="1" applyBorder="1" applyAlignment="1">
      <alignment horizontal="center" vertical="center" wrapText="1"/>
    </xf>
    <xf numFmtId="0" fontId="0" fillId="27" borderId="114" xfId="0" applyFill="1" applyBorder="1" applyAlignment="1" applyProtection="1">
      <alignment horizontal="center"/>
      <protection locked="0"/>
    </xf>
    <xf numFmtId="0" fontId="0" fillId="27" borderId="115" xfId="0" applyFill="1" applyBorder="1" applyAlignment="1" applyProtection="1">
      <alignment horizontal="center"/>
      <protection locked="0"/>
    </xf>
    <xf numFmtId="0" fontId="0" fillId="27" borderId="116" xfId="0" applyFill="1" applyBorder="1" applyAlignment="1" applyProtection="1">
      <alignment horizontal="center"/>
      <protection locked="0"/>
    </xf>
    <xf numFmtId="0" fontId="0" fillId="27" borderId="68" xfId="0" applyFill="1" applyBorder="1" applyAlignment="1" applyProtection="1">
      <alignment horizontal="center"/>
      <protection locked="0"/>
    </xf>
    <xf numFmtId="0" fontId="0" fillId="27" borderId="105" xfId="0" applyFill="1" applyBorder="1" applyAlignment="1" applyProtection="1">
      <alignment horizontal="center"/>
      <protection locked="0"/>
    </xf>
    <xf numFmtId="0" fontId="0" fillId="27" borderId="107" xfId="0" applyFill="1" applyBorder="1" applyAlignment="1" applyProtection="1">
      <alignment horizontal="center"/>
      <protection locked="0"/>
    </xf>
    <xf numFmtId="0" fontId="79" fillId="21" borderId="231" xfId="53" applyNumberFormat="1" applyFont="1" applyFill="1" applyBorder="1" applyAlignment="1">
      <alignment horizontal="center" vertical="center" wrapText="1"/>
    </xf>
    <xf numFmtId="0" fontId="79" fillId="21" borderId="13" xfId="53" applyNumberFormat="1" applyFont="1" applyFill="1" applyBorder="1" applyAlignment="1">
      <alignment horizontal="center" vertical="center" wrapText="1"/>
    </xf>
    <xf numFmtId="0" fontId="79" fillId="21" borderId="230" xfId="53" applyNumberFormat="1" applyFont="1" applyFill="1" applyBorder="1" applyAlignment="1">
      <alignment horizontal="center" vertical="center" wrapText="1"/>
    </xf>
    <xf numFmtId="0" fontId="23" fillId="0" borderId="214" xfId="0" applyFont="1" applyFill="1" applyBorder="1" applyAlignment="1" applyProtection="1">
      <alignment horizontal="left"/>
      <protection locked="0"/>
    </xf>
    <xf numFmtId="0" fontId="23" fillId="0" borderId="163" xfId="0" applyFont="1" applyFill="1" applyBorder="1" applyAlignment="1" applyProtection="1">
      <alignment horizontal="left" vertical="center" wrapText="1"/>
      <protection locked="0"/>
    </xf>
    <xf numFmtId="0" fontId="23" fillId="0" borderId="216" xfId="0" applyFont="1" applyFill="1" applyBorder="1" applyAlignment="1" applyProtection="1">
      <alignment horizontal="left" vertical="center" wrapText="1"/>
      <protection locked="0"/>
    </xf>
    <xf numFmtId="0" fontId="23" fillId="0" borderId="214" xfId="0" applyFont="1" applyBorder="1" applyAlignment="1" applyProtection="1">
      <alignment horizontal="left"/>
      <protection locked="0"/>
    </xf>
    <xf numFmtId="0" fontId="23" fillId="0" borderId="235" xfId="0" applyFont="1" applyFill="1" applyBorder="1" applyAlignment="1" applyProtection="1">
      <alignment horizontal="left" vertical="top" wrapText="1"/>
      <protection locked="0"/>
    </xf>
    <xf numFmtId="0" fontId="23" fillId="0" borderId="236" xfId="0" applyFont="1" applyFill="1" applyBorder="1" applyAlignment="1" applyProtection="1">
      <alignment horizontal="left" vertical="top" wrapText="1"/>
      <protection locked="0"/>
    </xf>
    <xf numFmtId="0" fontId="23" fillId="0" borderId="237" xfId="0" applyFont="1" applyFill="1" applyBorder="1" applyAlignment="1" applyProtection="1">
      <alignment horizontal="left" vertical="top" wrapText="1"/>
      <protection locked="0"/>
    </xf>
    <xf numFmtId="0" fontId="23" fillId="0" borderId="227" xfId="0" applyFont="1" applyFill="1" applyBorder="1" applyAlignment="1" applyProtection="1">
      <alignment horizontal="left" vertical="top" wrapText="1"/>
      <protection locked="0"/>
    </xf>
    <xf numFmtId="0" fontId="23" fillId="0" borderId="205" xfId="0" applyFont="1" applyFill="1" applyBorder="1" applyAlignment="1" applyProtection="1">
      <alignment horizontal="left" vertical="top" wrapText="1"/>
      <protection locked="0"/>
    </xf>
    <xf numFmtId="0" fontId="23" fillId="0" borderId="238" xfId="0" applyFont="1" applyFill="1" applyBorder="1" applyAlignment="1" applyProtection="1">
      <alignment horizontal="left" vertical="top" wrapText="1"/>
      <protection locked="0"/>
    </xf>
    <xf numFmtId="0" fontId="23" fillId="0" borderId="223" xfId="0" applyFont="1" applyFill="1" applyBorder="1" applyAlignment="1" applyProtection="1">
      <alignment horizontal="left"/>
      <protection locked="0"/>
    </xf>
    <xf numFmtId="0" fontId="23" fillId="0" borderId="229" xfId="0" applyFont="1" applyFill="1" applyBorder="1" applyAlignment="1" applyProtection="1">
      <alignment horizontal="left"/>
      <protection locked="0"/>
    </xf>
    <xf numFmtId="0" fontId="23" fillId="0" borderId="213" xfId="0" applyFont="1" applyBorder="1" applyAlignment="1" applyProtection="1">
      <alignment horizontal="left"/>
      <protection locked="0"/>
    </xf>
    <xf numFmtId="0" fontId="23" fillId="0" borderId="222" xfId="0" applyFont="1" applyFill="1" applyBorder="1" applyAlignment="1" applyProtection="1">
      <alignment horizontal="left"/>
      <protection locked="0"/>
    </xf>
    <xf numFmtId="0" fontId="94" fillId="21" borderId="113" xfId="0" applyFont="1" applyFill="1" applyBorder="1" applyAlignment="1">
      <alignment horizontal="center" vertical="center" textRotation="90"/>
    </xf>
    <xf numFmtId="0" fontId="0" fillId="21" borderId="92" xfId="0" applyFill="1" applyBorder="1" applyAlignment="1">
      <alignment horizontal="center" vertical="center" textRotation="90"/>
    </xf>
    <xf numFmtId="0" fontId="0" fillId="21" borderId="108" xfId="0" applyFill="1" applyBorder="1" applyAlignment="1">
      <alignment horizontal="center" vertical="center" textRotation="90"/>
    </xf>
    <xf numFmtId="0" fontId="23" fillId="0" borderId="219" xfId="0" applyFont="1" applyFill="1" applyBorder="1" applyAlignment="1" applyProtection="1">
      <alignment horizontal="left"/>
      <protection locked="0"/>
    </xf>
    <xf numFmtId="0" fontId="23" fillId="0" borderId="163" xfId="0" applyFont="1" applyFill="1" applyBorder="1" applyAlignment="1" applyProtection="1">
      <alignment horizontal="left"/>
      <protection locked="0"/>
    </xf>
    <xf numFmtId="0" fontId="23" fillId="0" borderId="216" xfId="0" applyFont="1" applyFill="1" applyBorder="1" applyAlignment="1" applyProtection="1">
      <alignment horizontal="left"/>
      <protection locked="0"/>
    </xf>
    <xf numFmtId="0" fontId="23" fillId="0" borderId="221" xfId="0" applyFont="1" applyFill="1" applyBorder="1" applyAlignment="1" applyProtection="1">
      <alignment horizontal="left"/>
      <protection locked="0"/>
    </xf>
    <xf numFmtId="0" fontId="23" fillId="0" borderId="217" xfId="0" applyFont="1" applyFill="1" applyBorder="1" applyAlignment="1" applyProtection="1">
      <alignment horizontal="left"/>
      <protection locked="0"/>
    </xf>
    <xf numFmtId="0" fontId="23" fillId="0" borderId="218" xfId="0" applyFont="1" applyFill="1" applyBorder="1" applyAlignment="1" applyProtection="1">
      <alignment horizontal="left"/>
      <protection locked="0"/>
    </xf>
    <xf numFmtId="0" fontId="23" fillId="0" borderId="222" xfId="0" applyFont="1" applyBorder="1" applyAlignment="1" applyProtection="1">
      <alignment horizontal="left"/>
      <protection locked="0"/>
    </xf>
    <xf numFmtId="0" fontId="23" fillId="0" borderId="224" xfId="0" applyFont="1" applyFill="1" applyBorder="1" applyAlignment="1" applyProtection="1">
      <alignment horizontal="left" vertical="top" wrapText="1"/>
      <protection locked="0"/>
    </xf>
    <xf numFmtId="0" fontId="23" fillId="0" borderId="225" xfId="0" applyFont="1" applyFill="1" applyBorder="1" applyAlignment="1" applyProtection="1">
      <alignment horizontal="left" vertical="top" wrapText="1"/>
      <protection locked="0"/>
    </xf>
    <xf numFmtId="0" fontId="23" fillId="0" borderId="226" xfId="0" applyFont="1" applyFill="1" applyBorder="1" applyAlignment="1" applyProtection="1">
      <alignment horizontal="left" vertical="top" wrapText="1"/>
      <protection locked="0"/>
    </xf>
    <xf numFmtId="0" fontId="23" fillId="0" borderId="228" xfId="0" applyFont="1" applyFill="1" applyBorder="1" applyAlignment="1" applyProtection="1">
      <alignment horizontal="left" vertical="top" wrapText="1"/>
      <protection locked="0"/>
    </xf>
    <xf numFmtId="0" fontId="23" fillId="0" borderId="213" xfId="0" applyFont="1" applyFill="1" applyBorder="1" applyAlignment="1" applyProtection="1">
      <alignment horizontal="left"/>
      <protection locked="0"/>
    </xf>
    <xf numFmtId="0" fontId="35" fillId="0" borderId="0" xfId="0" applyFont="1" applyAlignment="1">
      <alignment horizontal="center"/>
    </xf>
    <xf numFmtId="0" fontId="23" fillId="0" borderId="217" xfId="0" applyFont="1" applyFill="1" applyBorder="1" applyAlignment="1" applyProtection="1">
      <alignment horizontal="left" vertical="center" wrapText="1"/>
      <protection locked="0"/>
    </xf>
    <xf numFmtId="0" fontId="23" fillId="0" borderId="21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indent="1"/>
      <protection locked="0"/>
    </xf>
    <xf numFmtId="0" fontId="4" fillId="0" borderId="94" xfId="0" applyFont="1" applyFill="1" applyBorder="1" applyAlignment="1" applyProtection="1">
      <alignment horizontal="left" vertical="center" wrapText="1" indent="1"/>
      <protection locked="0"/>
    </xf>
    <xf numFmtId="43" fontId="19"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1">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2016"/>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'Data Entry'!$C$33:$N$33</c:f>
              <c:numCache>
                <c:formatCode>#,##0</c:formatCode>
                <c:ptCount val="12"/>
                <c:pt idx="0">
                  <c:v>275210</c:v>
                </c:pt>
                <c:pt idx="1">
                  <c:v>400961</c:v>
                </c:pt>
                <c:pt idx="2">
                  <c:v>0</c:v>
                </c:pt>
                <c:pt idx="3">
                  <c:v>0</c:v>
                </c:pt>
                <c:pt idx="4">
                  <c:v>0</c:v>
                </c:pt>
                <c:pt idx="5">
                  <c:v>0</c:v>
                </c:pt>
                <c:pt idx="6">
                  <c:v>0</c:v>
                </c:pt>
                <c:pt idx="7">
                  <c:v>0</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99CCFF"/>
            </a:solidFill>
            <a:ln w="3175">
              <a:solidFill>
                <a:srgbClr val="000000"/>
              </a:solidFill>
              <a:prstDash val="solid"/>
            </a:ln>
          </c:spPr>
          <c:invertIfNegative val="0"/>
          <c:val>
            <c:numRef>
              <c:f>'Data Entry'!$C$34:$N$34</c:f>
              <c:numCache>
                <c:formatCode>#,##0</c:formatCode>
                <c:ptCount val="12"/>
                <c:pt idx="0">
                  <c:v>585546</c:v>
                </c:pt>
                <c:pt idx="1">
                  <c:v>585546</c:v>
                </c:pt>
                <c:pt idx="11">
                  <c:v>0</c:v>
                </c:pt>
              </c:numCache>
            </c:numRef>
          </c:val>
        </c:ser>
        <c:dLbls>
          <c:showLegendKey val="0"/>
          <c:showVal val="0"/>
          <c:showCatName val="0"/>
          <c:showSerName val="0"/>
          <c:showPercent val="0"/>
          <c:showBubbleSize val="0"/>
        </c:dLbls>
        <c:gapWidth val="70"/>
        <c:axId val="98322304"/>
        <c:axId val="98328576"/>
      </c:barChart>
      <c:catAx>
        <c:axId val="983223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Reporting Period</a:t>
                </a:r>
              </a:p>
            </c:rich>
          </c:tx>
          <c:layout>
            <c:manualLayout>
              <c:xMode val="edge"/>
              <c:yMode val="edge"/>
              <c:x val="0.48066290143051532"/>
              <c:y val="0.786956301514941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98328576"/>
        <c:crosses val="autoZero"/>
        <c:auto val="1"/>
        <c:lblAlgn val="ctr"/>
        <c:lblOffset val="100"/>
        <c:tickLblSkip val="1"/>
        <c:tickMarkSkip val="1"/>
        <c:noMultiLvlLbl val="0"/>
      </c:catAx>
      <c:valAx>
        <c:axId val="9832857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8322304"/>
        <c:crosses val="autoZero"/>
        <c:crossBetween val="between"/>
      </c:valAx>
      <c:spPr>
        <a:solidFill>
          <a:srgbClr val="FFFFFF"/>
        </a:solidFill>
        <a:ln w="3175">
          <a:solidFill>
            <a:srgbClr val="000000"/>
          </a:solidFill>
          <a:prstDash val="solid"/>
        </a:ln>
      </c:spPr>
    </c:plotArea>
    <c:legend>
      <c:legendPos val="r"/>
      <c:layout>
        <c:manualLayout>
          <c:xMode val="edge"/>
          <c:yMode val="edge"/>
          <c:x val="0.16230393975622187"/>
          <c:y val="0.85965280655707665"/>
          <c:w val="0.76701680614530565"/>
          <c:h val="0.10526361836349417"/>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#,##0</c:formatCode>
                <c:ptCount val="12"/>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val>
            <c:numRef>
              <c:f>'Data Entry'!$H$123:$S$123</c:f>
              <c:numCache>
                <c:formatCode>#,##0</c:formatCode>
                <c:ptCount val="12"/>
              </c:numCache>
            </c:numRef>
          </c:val>
        </c:ser>
        <c:dLbls>
          <c:showLegendKey val="0"/>
          <c:showVal val="0"/>
          <c:showCatName val="0"/>
          <c:showSerName val="0"/>
          <c:showPercent val="0"/>
          <c:showBubbleSize val="0"/>
        </c:dLbls>
        <c:gapWidth val="150"/>
        <c:axId val="99019392"/>
        <c:axId val="99049856"/>
      </c:barChart>
      <c:catAx>
        <c:axId val="9901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9049856"/>
        <c:crosses val="autoZero"/>
        <c:auto val="1"/>
        <c:lblAlgn val="ctr"/>
        <c:lblOffset val="100"/>
        <c:tickLblSkip val="1"/>
        <c:tickMarkSkip val="1"/>
        <c:noMultiLvlLbl val="0"/>
      </c:catAx>
      <c:valAx>
        <c:axId val="9904985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9019392"/>
        <c:crossesAt val="1"/>
        <c:crossBetween val="between"/>
      </c:valAx>
      <c:spPr>
        <a:noFill/>
        <a:ln w="25400">
          <a:noFill/>
        </a:ln>
      </c:spPr>
    </c:plotArea>
    <c:legend>
      <c:legendPos val="r"/>
      <c:layout>
        <c:manualLayout>
          <c:xMode val="edge"/>
          <c:yMode val="edge"/>
          <c:x val="0.25087108013937282"/>
          <c:y val="0.89266011240120413"/>
          <c:w val="0.54006968641114983"/>
          <c:h val="6.7797203315687393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formatCode="_(* #,##0_);_(* \(#,##0\);_(* &quot;-&quot;??_);_(@_)">
                  <c:v>6199</c:v>
                </c:pt>
                <c:pt idx="1">
                  <c:v>6199</c:v>
                </c:pt>
              </c:numCache>
            </c:numRef>
          </c:val>
        </c:ser>
        <c:ser>
          <c:idx val="1"/>
          <c:order val="1"/>
          <c:tx>
            <c:strRef>
              <c:f>'Data Entry'!$G$119</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809</c:v>
                </c:pt>
                <c:pt idx="1">
                  <c:v>9171</c:v>
                </c:pt>
              </c:numCache>
            </c:numRef>
          </c:val>
        </c:ser>
        <c:dLbls>
          <c:showLegendKey val="0"/>
          <c:showVal val="0"/>
          <c:showCatName val="0"/>
          <c:showSerName val="0"/>
          <c:showPercent val="0"/>
          <c:showBubbleSize val="0"/>
        </c:dLbls>
        <c:gapWidth val="150"/>
        <c:axId val="99078912"/>
        <c:axId val="99080448"/>
      </c:barChart>
      <c:catAx>
        <c:axId val="9907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9080448"/>
        <c:crosses val="autoZero"/>
        <c:auto val="1"/>
        <c:lblAlgn val="ctr"/>
        <c:lblOffset val="100"/>
        <c:tickLblSkip val="1"/>
        <c:tickMarkSkip val="1"/>
        <c:noMultiLvlLbl val="0"/>
      </c:catAx>
      <c:valAx>
        <c:axId val="9908044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9078912"/>
        <c:crosses val="autoZero"/>
        <c:crossBetween val="between"/>
      </c:valAx>
      <c:spPr>
        <a:noFill/>
        <a:ln w="25400">
          <a:noFill/>
        </a:ln>
      </c:spPr>
    </c:plotArea>
    <c:legend>
      <c:legendPos val="r"/>
      <c:layout>
        <c:manualLayout>
          <c:xMode val="edge"/>
          <c:yMode val="edge"/>
          <c:x val="0.2730507622717373"/>
          <c:y val="0.89175257731958846"/>
          <c:w val="0.5283706557956851"/>
          <c:h val="7.216494845360831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275210</c:v>
                </c:pt>
                <c:pt idx="1">
                  <c:v>400961</c:v>
                </c:pt>
                <c:pt idx="2">
                  <c:v>0</c:v>
                </c:pt>
                <c:pt idx="3">
                  <c:v>0</c:v>
                </c:pt>
                <c:pt idx="4">
                  <c:v>0</c:v>
                </c:pt>
                <c:pt idx="5">
                  <c:v>0</c:v>
                </c:pt>
                <c:pt idx="6">
                  <c:v>0</c:v>
                </c:pt>
                <c:pt idx="7">
                  <c:v>0</c:v>
                </c:pt>
                <c:pt idx="8">
                  <c:v>0</c:v>
                </c:pt>
                <c:pt idx="9">
                  <c:v>0</c:v>
                </c:pt>
                <c:pt idx="10">
                  <c:v>0</c:v>
                </c:pt>
              </c:numCache>
            </c:numRef>
          </c:val>
        </c:ser>
        <c:ser>
          <c:idx val="1"/>
          <c:order val="1"/>
          <c:tx>
            <c:strRef>
              <c:f>'Data Entry'!$B$34</c:f>
              <c:strCache>
                <c:ptCount val="1"/>
                <c:pt idx="0">
                  <c:v>Cumulative disbursements</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585546</c:v>
                </c:pt>
                <c:pt idx="1">
                  <c:v>585546</c:v>
                </c:pt>
              </c:numCache>
            </c:numRef>
          </c:val>
        </c:ser>
        <c:dLbls>
          <c:showLegendKey val="0"/>
          <c:showVal val="0"/>
          <c:showCatName val="0"/>
          <c:showSerName val="0"/>
          <c:showPercent val="0"/>
          <c:showBubbleSize val="0"/>
        </c:dLbls>
        <c:dropLines>
          <c:spPr>
            <a:ln w="3175">
              <a:solidFill>
                <a:srgbClr val="000000"/>
              </a:solidFill>
              <a:prstDash val="solid"/>
            </a:ln>
          </c:spPr>
        </c:dropLines>
        <c:axId val="96011776"/>
        <c:axId val="96013312"/>
      </c:areaChart>
      <c:catAx>
        <c:axId val="9601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96013312"/>
        <c:crosses val="autoZero"/>
        <c:auto val="1"/>
        <c:lblAlgn val="ctr"/>
        <c:lblOffset val="100"/>
        <c:tickLblSkip val="8"/>
        <c:tickMarkSkip val="1"/>
        <c:noMultiLvlLbl val="0"/>
      </c:catAx>
      <c:valAx>
        <c:axId val="9601331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601177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5827"/>
        </c:manualLayout>
      </c:layout>
      <c:barChart>
        <c:barDir val="col"/>
        <c:grouping val="stacked"/>
        <c:varyColors val="0"/>
        <c:ser>
          <c:idx val="0"/>
          <c:order val="0"/>
          <c:spPr>
            <a:solidFill>
              <a:srgbClr val="0066CC"/>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585546</c:v>
                </c:pt>
                <c:pt idx="1">
                  <c:v>208825</c:v>
                </c:pt>
                <c:pt idx="2">
                  <c:v>19568.09</c:v>
                </c:pt>
                <c:pt idx="3">
                  <c:v>15056.45</c:v>
                </c:pt>
              </c:numCache>
            </c:numRef>
          </c:val>
        </c:ser>
        <c:ser>
          <c:idx val="1"/>
          <c:order val="1"/>
          <c:spPr>
            <a:solidFill>
              <a:srgbClr val="CCFFFF"/>
            </a:solidFill>
            <a:ln w="3175">
              <a:solidFill>
                <a:srgbClr val="000000"/>
              </a:solidFill>
              <a:prstDash val="solid"/>
            </a:ln>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104139.99</c:v>
                </c:pt>
                <c:pt idx="2">
                  <c:v>9787.2198772319953</c:v>
                </c:pt>
                <c:pt idx="3">
                  <c:v>12443.08</c:v>
                </c:pt>
              </c:numCache>
            </c:numRef>
          </c:val>
        </c:ser>
        <c:dLbls>
          <c:showLegendKey val="0"/>
          <c:showVal val="0"/>
          <c:showCatName val="0"/>
          <c:showSerName val="0"/>
          <c:showPercent val="0"/>
          <c:showBubbleSize val="0"/>
        </c:dLbls>
        <c:gapWidth val="150"/>
        <c:overlap val="100"/>
        <c:axId val="98361728"/>
        <c:axId val="98363264"/>
      </c:barChart>
      <c:catAx>
        <c:axId val="98361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363264"/>
        <c:crossesAt val="0"/>
        <c:auto val="1"/>
        <c:lblAlgn val="ctr"/>
        <c:lblOffset val="100"/>
        <c:noMultiLvlLbl val="0"/>
      </c:catAx>
      <c:valAx>
        <c:axId val="9836326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9836172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94"/>
          <c:y val="9.3877551020408165E-2"/>
          <c:w val="0.84029484029484791"/>
          <c:h val="0.53469387755102793"/>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'Data Entry'!$B$39:$B$42</c:f>
              <c:strCache>
                <c:ptCount val="2"/>
                <c:pt idx="0">
                  <c:v>KP-1e: Percentage of other vulnerable populations reached with HIV prevention programs - defined package of services</c:v>
                </c:pt>
                <c:pt idx="1">
                  <c:v>KP-3e: Percentage of other vulnerable populations that have received an HIV test during the reporting period and know their results</c:v>
                </c:pt>
              </c:strCache>
            </c:strRef>
          </c:cat>
          <c:val>
            <c:numRef>
              <c:f>'Data Entry'!$C$40:$C$42</c:f>
              <c:numCache>
                <c:formatCode>#,##0</c:formatCode>
                <c:ptCount val="3"/>
                <c:pt idx="0">
                  <c:v>347793</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'Data Entry'!$B$39:$B$42</c:f>
              <c:strCache>
                <c:ptCount val="2"/>
                <c:pt idx="0">
                  <c:v>KP-1e: Percentage of other vulnerable populations reached with HIV prevention programs - defined package of services</c:v>
                </c:pt>
                <c:pt idx="1">
                  <c:v>KP-3e: Percentage of other vulnerable populations that have received an HIV test during the reporting period and know their results</c:v>
                </c:pt>
              </c:strCache>
            </c:strRef>
          </c:cat>
          <c:val>
            <c:numRef>
              <c:f>'Data Entry'!$D$40:$D$42</c:f>
              <c:numCache>
                <c:formatCode>#,##0</c:formatCode>
                <c:ptCount val="3"/>
                <c:pt idx="0">
                  <c:v>267300.43</c:v>
                </c:pt>
              </c:numCache>
            </c:numRef>
          </c:val>
        </c:ser>
        <c:dLbls>
          <c:showLegendKey val="0"/>
          <c:showVal val="0"/>
          <c:showCatName val="0"/>
          <c:showSerName val="0"/>
          <c:showPercent val="0"/>
          <c:showBubbleSize val="0"/>
        </c:dLbls>
        <c:gapWidth val="150"/>
        <c:axId val="98528640"/>
        <c:axId val="98542720"/>
      </c:barChart>
      <c:catAx>
        <c:axId val="9852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8542720"/>
        <c:crosses val="autoZero"/>
        <c:auto val="1"/>
        <c:lblAlgn val="ctr"/>
        <c:lblOffset val="100"/>
        <c:tickMarkSkip val="1"/>
        <c:noMultiLvlLbl val="0"/>
      </c:catAx>
      <c:valAx>
        <c:axId val="985427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8528640"/>
        <c:crosses val="autoZero"/>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677966101913E-2"/>
          <c:y val="0.19565217391304238"/>
          <c:w val="0.86864406779661063"/>
          <c:h val="0.42028985507246575"/>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343"/>
                  <c:y val="-0.29611370761718181"/>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12</c:v>
                </c:pt>
              </c:numCache>
            </c:numRef>
          </c:val>
        </c:ser>
        <c:dLbls>
          <c:showLegendKey val="0"/>
          <c:showVal val="0"/>
          <c:showCatName val="0"/>
          <c:showSerName val="0"/>
          <c:showPercent val="0"/>
          <c:showBubbleSize val="0"/>
        </c:dLbls>
        <c:gapWidth val="79"/>
        <c:overlap val="100"/>
        <c:axId val="97997568"/>
        <c:axId val="97999104"/>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12</c:v>
                </c:pt>
              </c:numCache>
            </c:numRef>
          </c:val>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ser>
        <c:dLbls>
          <c:showLegendKey val="0"/>
          <c:showVal val="0"/>
          <c:showCatName val="0"/>
          <c:showSerName val="0"/>
          <c:showPercent val="0"/>
          <c:showBubbleSize val="0"/>
        </c:dLbls>
        <c:gapWidth val="191"/>
        <c:overlap val="100"/>
        <c:axId val="98017280"/>
        <c:axId val="98018816"/>
      </c:barChart>
      <c:catAx>
        <c:axId val="97997568"/>
        <c:scaling>
          <c:orientation val="minMax"/>
        </c:scaling>
        <c:delete val="1"/>
        <c:axPos val="l"/>
        <c:majorTickMark val="out"/>
        <c:minorTickMark val="none"/>
        <c:tickLblPos val="none"/>
        <c:crossAx val="97999104"/>
        <c:crosses val="autoZero"/>
        <c:auto val="1"/>
        <c:lblAlgn val="ctr"/>
        <c:lblOffset val="100"/>
        <c:noMultiLvlLbl val="0"/>
      </c:catAx>
      <c:valAx>
        <c:axId val="9799910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7997568"/>
        <c:crosses val="max"/>
        <c:crossBetween val="between"/>
      </c:valAx>
      <c:catAx>
        <c:axId val="98017280"/>
        <c:scaling>
          <c:orientation val="minMax"/>
        </c:scaling>
        <c:delete val="1"/>
        <c:axPos val="l"/>
        <c:majorTickMark val="out"/>
        <c:minorTickMark val="none"/>
        <c:tickLblPos val="none"/>
        <c:crossAx val="98018816"/>
        <c:crosses val="autoZero"/>
        <c:auto val="0"/>
        <c:lblAlgn val="ctr"/>
        <c:lblOffset val="100"/>
        <c:noMultiLvlLbl val="0"/>
      </c:catAx>
      <c:valAx>
        <c:axId val="98018816"/>
        <c:scaling>
          <c:orientation val="minMax"/>
        </c:scaling>
        <c:delete val="0"/>
        <c:axPos val="b"/>
        <c:numFmt formatCode="0%" sourceLinked="1"/>
        <c:majorTickMark val="none"/>
        <c:minorTickMark val="none"/>
        <c:tickLblPos val="none"/>
        <c:spPr>
          <a:ln w="3175">
            <a:solidFill>
              <a:srgbClr val="000000"/>
            </a:solidFill>
            <a:prstDash val="solid"/>
          </a:ln>
        </c:spPr>
        <c:crossAx val="98017280"/>
        <c:crosses val="autoZero"/>
        <c:crossBetween val="between"/>
      </c:valAx>
    </c:plotArea>
    <c:legend>
      <c:legendPos val="r"/>
      <c:legendEntry>
        <c:idx val="0"/>
        <c:delete val="1"/>
      </c:legendEntry>
      <c:layout>
        <c:manualLayout>
          <c:xMode val="edge"/>
          <c:yMode val="edge"/>
          <c:x val="0.30866807610993707"/>
          <c:y val="0.74638213701548184"/>
          <c:w val="0.34038054968287618"/>
          <c:h val="0.14492829700635274"/>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ser>
        <c:dLbls>
          <c:showLegendKey val="0"/>
          <c:showVal val="0"/>
          <c:showCatName val="0"/>
          <c:showSerName val="0"/>
          <c:showPercent val="0"/>
          <c:showBubbleSize val="0"/>
        </c:dLbls>
        <c:gapWidth val="150"/>
        <c:overlap val="-20"/>
        <c:axId val="99123968"/>
        <c:axId val="99125504"/>
      </c:barChart>
      <c:catAx>
        <c:axId val="99123968"/>
        <c:scaling>
          <c:orientation val="minMax"/>
        </c:scaling>
        <c:delete val="0"/>
        <c:axPos val="b"/>
        <c:majorTickMark val="none"/>
        <c:minorTickMark val="none"/>
        <c:tickLblPos val="none"/>
        <c:spPr>
          <a:ln w="3175">
            <a:solidFill>
              <a:srgbClr val="000000"/>
            </a:solidFill>
            <a:prstDash val="solid"/>
          </a:ln>
        </c:spPr>
        <c:crossAx val="99125504"/>
        <c:crosses val="autoZero"/>
        <c:auto val="0"/>
        <c:lblAlgn val="ctr"/>
        <c:lblOffset val="100"/>
        <c:tickMarkSkip val="1"/>
        <c:noMultiLvlLbl val="0"/>
      </c:catAx>
      <c:valAx>
        <c:axId val="991255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123968"/>
        <c:crosses val="autoZero"/>
        <c:crossBetween val="between"/>
      </c:valAx>
      <c:spPr>
        <a:noFill/>
        <a:ln w="25400">
          <a:noFill/>
        </a:ln>
      </c:spPr>
    </c:plotArea>
    <c:legend>
      <c:legendPos val="r"/>
      <c:layout>
        <c:manualLayout>
          <c:xMode val="edge"/>
          <c:yMode val="edge"/>
          <c:x val="0.10114966663649801"/>
          <c:y val="0.84153464423504443"/>
          <c:w val="0.78161088484629049"/>
          <c:h val="0.10929019118511847"/>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396"/>
          <c:y val="5.6000000000000001E-2"/>
          <c:w val="0.54462242562929064"/>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2</c:v>
                </c:pt>
                <c:pt idx="1">
                  <c:v>2</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99181312"/>
        <c:axId val="99182848"/>
      </c:barChart>
      <c:catAx>
        <c:axId val="99181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182848"/>
        <c:crosses val="autoZero"/>
        <c:auto val="1"/>
        <c:lblAlgn val="ctr"/>
        <c:lblOffset val="100"/>
        <c:tickLblSkip val="1"/>
        <c:tickMarkSkip val="1"/>
        <c:noMultiLvlLbl val="0"/>
      </c:catAx>
      <c:valAx>
        <c:axId val="9918284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181312"/>
        <c:crosses val="autoZero"/>
        <c:crossBetween val="between"/>
      </c:valAx>
      <c:spPr>
        <a:noFill/>
        <a:ln w="25400">
          <a:noFill/>
        </a:ln>
      </c:spPr>
    </c:plotArea>
    <c:legend>
      <c:legendPos val="r"/>
      <c:layout>
        <c:manualLayout>
          <c:xMode val="edge"/>
          <c:yMode val="edge"/>
          <c:x val="4.0816326530612339E-2"/>
          <c:y val="0.80800000000000005"/>
          <c:w val="0.89569351450116363"/>
          <c:h val="0.16000000000000003"/>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19"/>
          <c:y val="0.12154728922244371"/>
          <c:w val="0.60327318841303279"/>
          <c:h val="0.5524876782838356"/>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0</c:v>
                </c:pt>
                <c:pt idx="1">
                  <c:v>1</c:v>
                </c:pt>
              </c:numCache>
            </c:numRef>
          </c:val>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0</c:formatCode>
                <c:ptCount val="2"/>
                <c:pt idx="0">
                  <c:v>0</c:v>
                </c:pt>
                <c:pt idx="1">
                  <c:v>0</c:v>
                </c:pt>
              </c:numCache>
            </c:numRef>
          </c:val>
        </c:ser>
        <c:dLbls>
          <c:showLegendKey val="0"/>
          <c:showVal val="0"/>
          <c:showCatName val="0"/>
          <c:showSerName val="0"/>
          <c:showPercent val="0"/>
          <c:showBubbleSize val="0"/>
        </c:dLbls>
        <c:gapWidth val="101"/>
        <c:overlap val="100"/>
        <c:axId val="99212672"/>
        <c:axId val="98837632"/>
      </c:barChart>
      <c:catAx>
        <c:axId val="99212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8837632"/>
        <c:crosses val="autoZero"/>
        <c:auto val="1"/>
        <c:lblAlgn val="ctr"/>
        <c:lblOffset val="100"/>
        <c:noMultiLvlLbl val="0"/>
      </c:catAx>
      <c:valAx>
        <c:axId val="988376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9212672"/>
        <c:crosses val="max"/>
        <c:crossBetween val="between"/>
      </c:valAx>
    </c:plotArea>
    <c:legend>
      <c:legendPos val="r"/>
      <c:layout>
        <c:manualLayout>
          <c:xMode val="edge"/>
          <c:yMode val="edge"/>
          <c:x val="0.32903293539920508"/>
          <c:y val="0.74585809370513845"/>
          <c:w val="0.32903293539920508"/>
          <c:h val="0.13259726512086567"/>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6" r="0.750000000000006"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351"/>
          <c:y val="0.10989010989011012"/>
          <c:w val="0.81094724363351489"/>
          <c:h val="0.54395604395604358"/>
        </c:manualLayout>
      </c:layout>
      <c:lineChart>
        <c:grouping val="standard"/>
        <c:varyColors val="0"/>
        <c:ser>
          <c:idx val="0"/>
          <c:order val="0"/>
          <c:tx>
            <c:strRef>
              <c:f>'Data Entry'!$B$98</c:f>
              <c:strCache>
                <c:ptCount val="1"/>
                <c:pt idx="0">
                  <c:v>Budget Approved*</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98869248"/>
        <c:axId val="98871168"/>
      </c:lineChart>
      <c:catAx>
        <c:axId val="9886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98871168"/>
        <c:crosses val="autoZero"/>
        <c:auto val="1"/>
        <c:lblAlgn val="ctr"/>
        <c:lblOffset val="100"/>
        <c:tickLblSkip val="1"/>
        <c:tickMarkSkip val="1"/>
        <c:noMultiLvlLbl val="0"/>
      </c:catAx>
      <c:valAx>
        <c:axId val="988711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98869248"/>
        <c:crosses val="autoZero"/>
        <c:crossBetween val="between"/>
      </c:valAx>
      <c:spPr>
        <a:solidFill>
          <a:srgbClr val="FFFFFF"/>
        </a:solidFill>
        <a:ln w="12700">
          <a:solidFill>
            <a:srgbClr val="808080"/>
          </a:solidFill>
          <a:prstDash val="solid"/>
        </a:ln>
      </c:spPr>
    </c:plotArea>
    <c:legend>
      <c:legendPos val="r"/>
      <c:layout>
        <c:manualLayout>
          <c:xMode val="edge"/>
          <c:yMode val="edge"/>
          <c:x val="9.0909090909091064E-2"/>
          <c:y val="0.69780219780219777"/>
          <c:w val="0.84275184275184345"/>
          <c:h val="0.17582417582417589"/>
        </c:manualLayout>
      </c:layout>
      <c:overlay val="0"/>
      <c:spPr>
        <a:no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30304"/>
          <c:h val="0.65320736566206339"/>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7571</c:v>
                </c:pt>
                <c:pt idx="1">
                  <c:v>7571</c:v>
                </c:pt>
              </c:numCache>
            </c:numRef>
          </c:val>
        </c:ser>
        <c:ser>
          <c:idx val="1"/>
          <c:order val="1"/>
          <c:tx>
            <c:strRef>
              <c:f>'Data Entry'!$G$121</c:f>
              <c:strCache>
                <c:ptCount val="1"/>
                <c:pt idx="0">
                  <c:v>Achieved </c:v>
                </c:pt>
              </c:strCache>
            </c:strRef>
          </c:tx>
          <c:spPr>
            <a:pattFill prst="pct50">
              <a:fgClr>
                <a:srgbClr val="99CCFF"/>
              </a:fgClr>
              <a:bgClr>
                <a:srgbClr val="FFFFFF"/>
              </a:bgClr>
            </a:pattFill>
            <a:ln w="12700">
              <a:solidFill>
                <a:srgbClr val="0000FF"/>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1562</c:v>
                </c:pt>
                <c:pt idx="1">
                  <c:v>7039</c:v>
                </c:pt>
              </c:numCache>
            </c:numRef>
          </c:val>
        </c:ser>
        <c:dLbls>
          <c:showLegendKey val="0"/>
          <c:showVal val="0"/>
          <c:showCatName val="0"/>
          <c:showSerName val="0"/>
          <c:showPercent val="0"/>
          <c:showBubbleSize val="0"/>
        </c:dLbls>
        <c:gapWidth val="150"/>
        <c:axId val="99001088"/>
        <c:axId val="99002624"/>
      </c:barChart>
      <c:catAx>
        <c:axId val="99001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9002624"/>
        <c:crosses val="autoZero"/>
        <c:auto val="1"/>
        <c:lblAlgn val="ctr"/>
        <c:lblOffset val="100"/>
        <c:tickLblSkip val="1"/>
        <c:tickMarkSkip val="1"/>
        <c:noMultiLvlLbl val="0"/>
      </c:catAx>
      <c:valAx>
        <c:axId val="9900262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9001088"/>
        <c:crosses val="autoZero"/>
        <c:crossBetween val="between"/>
      </c:valAx>
      <c:spPr>
        <a:noFill/>
        <a:ln w="25400">
          <a:noFill/>
        </a:ln>
      </c:spPr>
    </c:plotArea>
    <c:legend>
      <c:legendPos val="r"/>
      <c:layout>
        <c:manualLayout>
          <c:xMode val="edge"/>
          <c:yMode val="edge"/>
          <c:x val="0.25795090101369877"/>
          <c:y val="0.89637523288863563"/>
          <c:w val="0.53356964655036498"/>
          <c:h val="7.2538860103626993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 Id="rId14" Type="http://schemas.openxmlformats.org/officeDocument/2006/relationships/image" Target="../media/image6.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6.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5" Type="http://schemas.openxmlformats.org/officeDocument/2006/relationships/image" Target="../media/image6.png"/><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xdr:row>
      <xdr:rowOff>57150</xdr:rowOff>
    </xdr:from>
    <xdr:to>
      <xdr:col>11</xdr:col>
      <xdr:colOff>695325</xdr:colOff>
      <xdr:row>19</xdr:row>
      <xdr:rowOff>95250</xdr:rowOff>
    </xdr:to>
    <xdr:pic>
      <xdr:nvPicPr>
        <xdr:cNvPr id="199667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485900"/>
          <a:ext cx="7705725" cy="2705100"/>
        </a:xfrm>
        <a:prstGeom prst="rect">
          <a:avLst/>
        </a:prstGeom>
        <a:noFill/>
        <a:ln w="1">
          <a:noFill/>
          <a:miter lim="800000"/>
          <a:headEnd/>
          <a:tailEnd/>
        </a:ln>
      </xdr:spPr>
    </xdr:pic>
    <xdr:clientData/>
  </xdr:twoCellAnchor>
  <xdr:twoCellAnchor editAs="oneCell">
    <xdr:from>
      <xdr:col>7</xdr:col>
      <xdr:colOff>742950</xdr:colOff>
      <xdr:row>7</xdr:row>
      <xdr:rowOff>47625</xdr:rowOff>
    </xdr:from>
    <xdr:to>
      <xdr:col>11</xdr:col>
      <xdr:colOff>590550</xdr:colOff>
      <xdr:row>18</xdr:row>
      <xdr:rowOff>133350</xdr:rowOff>
    </xdr:to>
    <xdr:pic>
      <xdr:nvPicPr>
        <xdr:cNvPr id="199667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91150" y="1857375"/>
          <a:ext cx="2247900" cy="2181225"/>
        </a:xfrm>
        <a:prstGeom prst="rect">
          <a:avLst/>
        </a:prstGeom>
        <a:noFill/>
        <a:ln w="9525">
          <a:noFill/>
          <a:miter lim="800000"/>
          <a:headEnd/>
          <a:tailEnd/>
        </a:ln>
      </xdr:spPr>
    </xdr:pic>
    <xdr:clientData/>
  </xdr:twoCellAnchor>
  <xdr:twoCellAnchor>
    <xdr:from>
      <xdr:col>4</xdr:col>
      <xdr:colOff>285750</xdr:colOff>
      <xdr:row>7</xdr:row>
      <xdr:rowOff>95250</xdr:rowOff>
    </xdr:from>
    <xdr:to>
      <xdr:col>7</xdr:col>
      <xdr:colOff>609600</xdr:colOff>
      <xdr:row>18</xdr:row>
      <xdr:rowOff>76200</xdr:rowOff>
    </xdr:to>
    <xdr:sp macro="" textlink="">
      <xdr:nvSpPr>
        <xdr:cNvPr id="1996676" name="AutoShape 27"/>
        <xdr:cNvSpPr>
          <a:spLocks noChangeArrowheads="1"/>
        </xdr:cNvSpPr>
      </xdr:nvSpPr>
      <xdr:spPr bwMode="gray">
        <a:xfrm>
          <a:off x="2647950" y="1905000"/>
          <a:ext cx="2609850"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314325</xdr:colOff>
      <xdr:row>10</xdr:row>
      <xdr:rowOff>47625</xdr:rowOff>
    </xdr:from>
    <xdr:to>
      <xdr:col>6</xdr:col>
      <xdr:colOff>590550</xdr:colOff>
      <xdr:row>12</xdr:row>
      <xdr:rowOff>38100</xdr:rowOff>
    </xdr:to>
    <xdr:grpSp>
      <xdr:nvGrpSpPr>
        <xdr:cNvPr id="1996677" name="Group 25">
          <a:hlinkClick xmlns:r="http://schemas.openxmlformats.org/officeDocument/2006/relationships" r:id="rId3"/>
        </xdr:cNvPr>
        <xdr:cNvGrpSpPr>
          <a:grpSpLocks/>
        </xdr:cNvGrpSpPr>
      </xdr:nvGrpSpPr>
      <xdr:grpSpPr bwMode="auto">
        <a:xfrm>
          <a:off x="3441700" y="2436813"/>
          <a:ext cx="1038225" cy="371475"/>
          <a:chOff x="1200" y="1912"/>
          <a:chExt cx="3456" cy="774"/>
        </a:xfrm>
      </xdr:grpSpPr>
      <xdr:sp macro="" textlink="">
        <xdr:nvSpPr>
          <xdr:cNvPr id="1995957"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3" y="1991"/>
            <a:ext cx="3297"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5" y="2011"/>
            <a:ext cx="34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352425</xdr:colOff>
      <xdr:row>15</xdr:row>
      <xdr:rowOff>171450</xdr:rowOff>
    </xdr:from>
    <xdr:to>
      <xdr:col>6</xdr:col>
      <xdr:colOff>685800</xdr:colOff>
      <xdr:row>17</xdr:row>
      <xdr:rowOff>133350</xdr:rowOff>
    </xdr:to>
    <xdr:grpSp>
      <xdr:nvGrpSpPr>
        <xdr:cNvPr id="1996678" name="Group 25">
          <a:hlinkClick xmlns:r="http://schemas.openxmlformats.org/officeDocument/2006/relationships" r:id="rId4"/>
        </xdr:cNvPr>
        <xdr:cNvGrpSpPr>
          <a:grpSpLocks/>
        </xdr:cNvGrpSpPr>
      </xdr:nvGrpSpPr>
      <xdr:grpSpPr bwMode="auto">
        <a:xfrm>
          <a:off x="3479800" y="3513138"/>
          <a:ext cx="1095375" cy="342900"/>
          <a:chOff x="1200" y="1912"/>
          <a:chExt cx="3456" cy="774"/>
        </a:xfrm>
      </xdr:grpSpPr>
      <xdr:sp macro="" textlink="">
        <xdr:nvSpPr>
          <xdr:cNvPr id="1995954"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0" y="1998"/>
            <a:ext cx="3306" cy="602"/>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0" y="2019"/>
            <a:ext cx="361" cy="323"/>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314325</xdr:colOff>
      <xdr:row>13</xdr:row>
      <xdr:rowOff>9525</xdr:rowOff>
    </xdr:from>
    <xdr:to>
      <xdr:col>6</xdr:col>
      <xdr:colOff>647700</xdr:colOff>
      <xdr:row>15</xdr:row>
      <xdr:rowOff>0</xdr:rowOff>
    </xdr:to>
    <xdr:grpSp>
      <xdr:nvGrpSpPr>
        <xdr:cNvPr id="1996679" name="Group 25">
          <a:hlinkClick xmlns:r="http://schemas.openxmlformats.org/officeDocument/2006/relationships" r:id="rId5"/>
        </xdr:cNvPr>
        <xdr:cNvGrpSpPr>
          <a:grpSpLocks/>
        </xdr:cNvGrpSpPr>
      </xdr:nvGrpSpPr>
      <xdr:grpSpPr bwMode="auto">
        <a:xfrm>
          <a:off x="3441700" y="2970213"/>
          <a:ext cx="1095375" cy="371475"/>
          <a:chOff x="1200" y="1912"/>
          <a:chExt cx="3456" cy="774"/>
        </a:xfrm>
      </xdr:grpSpPr>
      <xdr:sp macro="" textlink="">
        <xdr:nvSpPr>
          <xdr:cNvPr id="199595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0" y="1991"/>
            <a:ext cx="3306"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0" y="2011"/>
            <a:ext cx="361"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335280</xdr:colOff>
      <xdr:row>5</xdr:row>
      <xdr:rowOff>0</xdr:rowOff>
    </xdr:from>
    <xdr:to>
      <xdr:col>7</xdr:col>
      <xdr:colOff>426720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323850</xdr:colOff>
      <xdr:row>11</xdr:row>
      <xdr:rowOff>0</xdr:rowOff>
    </xdr:from>
    <xdr:to>
      <xdr:col>11</xdr:col>
      <xdr:colOff>171450</xdr:colOff>
      <xdr:row>13</xdr:row>
      <xdr:rowOff>28575</xdr:rowOff>
    </xdr:to>
    <xdr:grpSp>
      <xdr:nvGrpSpPr>
        <xdr:cNvPr id="1996681" name="Group 832">
          <a:hlinkClick xmlns:r="http://schemas.openxmlformats.org/officeDocument/2006/relationships" r:id="rId6"/>
        </xdr:cNvPr>
        <xdr:cNvGrpSpPr>
          <a:grpSpLocks/>
        </xdr:cNvGrpSpPr>
      </xdr:nvGrpSpPr>
      <xdr:grpSpPr bwMode="auto">
        <a:xfrm>
          <a:off x="5737225" y="2579688"/>
          <a:ext cx="1482725" cy="409575"/>
          <a:chOff x="599" y="262"/>
          <a:chExt cx="158" cy="43"/>
        </a:xfrm>
      </xdr:grpSpPr>
      <xdr:sp macro="" textlink="">
        <xdr:nvSpPr>
          <xdr:cNvPr id="1995947"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13"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6192" y="2771552"/>
              <a:ext cx="3603351"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1996715"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95250</xdr:rowOff>
    </xdr:to>
    <xdr:grpSp>
      <xdr:nvGrpSpPr>
        <xdr:cNvPr id="1996682" name="Group 830"/>
        <xdr:cNvGrpSpPr>
          <a:grpSpLocks/>
        </xdr:cNvGrpSpPr>
      </xdr:nvGrpSpPr>
      <xdr:grpSpPr bwMode="auto">
        <a:xfrm>
          <a:off x="327025" y="1903413"/>
          <a:ext cx="2143125" cy="2105025"/>
          <a:chOff x="32" y="188"/>
          <a:chExt cx="225" cy="225"/>
        </a:xfrm>
      </xdr:grpSpPr>
      <xdr:sp macro="" textlink="">
        <xdr:nvSpPr>
          <xdr:cNvPr id="1996710"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0"/>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314325</xdr:colOff>
      <xdr:row>14</xdr:row>
      <xdr:rowOff>57150</xdr:rowOff>
    </xdr:from>
    <xdr:to>
      <xdr:col>11</xdr:col>
      <xdr:colOff>171450</xdr:colOff>
      <xdr:row>16</xdr:row>
      <xdr:rowOff>85725</xdr:rowOff>
    </xdr:to>
    <xdr:grpSp>
      <xdr:nvGrpSpPr>
        <xdr:cNvPr id="1996683" name="Group 826"/>
        <xdr:cNvGrpSpPr>
          <a:grpSpLocks/>
        </xdr:cNvGrpSpPr>
      </xdr:nvGrpSpPr>
      <xdr:grpSpPr bwMode="auto">
        <a:xfrm>
          <a:off x="5727700" y="3208338"/>
          <a:ext cx="1492250" cy="409575"/>
          <a:chOff x="578" y="328"/>
          <a:chExt cx="158" cy="43"/>
        </a:xfrm>
      </xdr:grpSpPr>
      <xdr:sp macro="" textlink="">
        <xdr:nvSpPr>
          <xdr:cNvPr id="1995941"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07"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1996709"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571500</xdr:colOff>
      <xdr:row>15</xdr:row>
      <xdr:rowOff>133350</xdr:rowOff>
    </xdr:from>
    <xdr:to>
      <xdr:col>3</xdr:col>
      <xdr:colOff>552450</xdr:colOff>
      <xdr:row>17</xdr:row>
      <xdr:rowOff>95250</xdr:rowOff>
    </xdr:to>
    <xdr:grpSp>
      <xdr:nvGrpSpPr>
        <xdr:cNvPr id="1996684" name="Group 831">
          <a:hlinkClick xmlns:r="http://schemas.openxmlformats.org/officeDocument/2006/relationships" r:id="rId8"/>
        </xdr:cNvPr>
        <xdr:cNvGrpSpPr>
          <a:grpSpLocks/>
        </xdr:cNvGrpSpPr>
      </xdr:nvGrpSpPr>
      <xdr:grpSpPr bwMode="auto">
        <a:xfrm>
          <a:off x="650875" y="3475038"/>
          <a:ext cx="1504950" cy="342900"/>
          <a:chOff x="56" y="259"/>
          <a:chExt cx="158" cy="40"/>
        </a:xfrm>
      </xdr:grpSpPr>
      <xdr:sp macro="" textlink="">
        <xdr:nvSpPr>
          <xdr:cNvPr id="1995937"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703"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571500</xdr:colOff>
      <xdr:row>10</xdr:row>
      <xdr:rowOff>28575</xdr:rowOff>
    </xdr:from>
    <xdr:to>
      <xdr:col>3</xdr:col>
      <xdr:colOff>552450</xdr:colOff>
      <xdr:row>12</xdr:row>
      <xdr:rowOff>19050</xdr:rowOff>
    </xdr:to>
    <xdr:grpSp>
      <xdr:nvGrpSpPr>
        <xdr:cNvPr id="1996685" name="37 Grupo">
          <a:hlinkClick xmlns:r="http://schemas.openxmlformats.org/officeDocument/2006/relationships" r:id="rId9"/>
        </xdr:cNvPr>
        <xdr:cNvGrpSpPr>
          <a:grpSpLocks/>
        </xdr:cNvGrpSpPr>
      </xdr:nvGrpSpPr>
      <xdr:grpSpPr bwMode="auto">
        <a:xfrm>
          <a:off x="650875" y="2417763"/>
          <a:ext cx="1504950" cy="371475"/>
          <a:chOff x="1343025" y="2428876"/>
          <a:chExt cx="3240982" cy="617274"/>
        </a:xfrm>
      </xdr:grpSpPr>
      <xdr:sp macro="" textlink="">
        <xdr:nvSpPr>
          <xdr:cNvPr id="19959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699"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83328" y="2803642"/>
              <a:ext cx="334219"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571500</xdr:colOff>
      <xdr:row>12</xdr:row>
      <xdr:rowOff>171450</xdr:rowOff>
    </xdr:from>
    <xdr:to>
      <xdr:col>3</xdr:col>
      <xdr:colOff>552450</xdr:colOff>
      <xdr:row>14</xdr:row>
      <xdr:rowOff>171450</xdr:rowOff>
    </xdr:to>
    <xdr:grpSp>
      <xdr:nvGrpSpPr>
        <xdr:cNvPr id="1996686" name="37 Grupo">
          <a:hlinkClick xmlns:r="http://schemas.openxmlformats.org/officeDocument/2006/relationships" r:id="rId10"/>
        </xdr:cNvPr>
        <xdr:cNvGrpSpPr>
          <a:grpSpLocks/>
        </xdr:cNvGrpSpPr>
      </xdr:nvGrpSpPr>
      <xdr:grpSpPr bwMode="auto">
        <a:xfrm>
          <a:off x="650875" y="2941638"/>
          <a:ext cx="1504950" cy="381000"/>
          <a:chOff x="1343025" y="2428876"/>
          <a:chExt cx="3240982" cy="617274"/>
        </a:xfrm>
      </xdr:grpSpPr>
      <xdr:sp macro="" textlink="">
        <xdr:nvSpPr>
          <xdr:cNvPr id="1995929"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1996695"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6201"/>
              <a:ext cx="3604792"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83328" y="2800967"/>
              <a:ext cx="334219" cy="278129"/>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285750</xdr:colOff>
      <xdr:row>7</xdr:row>
      <xdr:rowOff>57150</xdr:rowOff>
    </xdr:from>
    <xdr:to>
      <xdr:col>4</xdr:col>
      <xdr:colOff>104775</xdr:colOff>
      <xdr:row>9</xdr:row>
      <xdr:rowOff>133350</xdr:rowOff>
    </xdr:to>
    <xdr:pic>
      <xdr:nvPicPr>
        <xdr:cNvPr id="199668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61950" y="1866900"/>
          <a:ext cx="2105025" cy="457200"/>
        </a:xfrm>
        <a:prstGeom prst="rect">
          <a:avLst/>
        </a:prstGeom>
        <a:noFill/>
        <a:ln w="9525">
          <a:noFill/>
          <a:miter lim="800000"/>
          <a:headEnd/>
          <a:tailEnd/>
        </a:ln>
      </xdr:spPr>
    </xdr:pic>
    <xdr:clientData/>
  </xdr:twoCellAnchor>
  <xdr:twoCellAnchor editAs="oneCell">
    <xdr:from>
      <xdr:col>1</xdr:col>
      <xdr:colOff>379095</xdr:colOff>
      <xdr:row>7</xdr:row>
      <xdr:rowOff>85725</xdr:rowOff>
    </xdr:from>
    <xdr:to>
      <xdr:col>4</xdr:col>
      <xdr:colOff>47686</xdr:colOff>
      <xdr:row>9</xdr:row>
      <xdr:rowOff>104775</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57150</xdr:rowOff>
    </xdr:from>
    <xdr:to>
      <xdr:col>7</xdr:col>
      <xdr:colOff>619125</xdr:colOff>
      <xdr:row>9</xdr:row>
      <xdr:rowOff>133350</xdr:rowOff>
    </xdr:to>
    <xdr:pic>
      <xdr:nvPicPr>
        <xdr:cNvPr id="199668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66900"/>
          <a:ext cx="2657475" cy="457200"/>
        </a:xfrm>
        <a:prstGeom prst="rect">
          <a:avLst/>
        </a:prstGeom>
        <a:noFill/>
        <a:ln w="9525">
          <a:noFill/>
          <a:miter lim="800000"/>
          <a:headEnd/>
          <a:tailEnd/>
        </a:ln>
      </xdr:spPr>
    </xdr:pic>
    <xdr:clientData/>
  </xdr:twoCellAnchor>
  <xdr:twoCellAnchor editAs="oneCell">
    <xdr:from>
      <xdr:col>4</xdr:col>
      <xdr:colOff>638175</xdr:colOff>
      <xdr:row>7</xdr:row>
      <xdr:rowOff>97155</xdr:rowOff>
    </xdr:from>
    <xdr:to>
      <xdr:col>7</xdr:col>
      <xdr:colOff>306670</xdr:colOff>
      <xdr:row>9</xdr:row>
      <xdr:rowOff>114391</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809625</xdr:colOff>
      <xdr:row>7</xdr:row>
      <xdr:rowOff>76200</xdr:rowOff>
    </xdr:from>
    <xdr:to>
      <xdr:col>11</xdr:col>
      <xdr:colOff>542925</xdr:colOff>
      <xdr:row>9</xdr:row>
      <xdr:rowOff>133350</xdr:rowOff>
    </xdr:to>
    <xdr:pic>
      <xdr:nvPicPr>
        <xdr:cNvPr id="199669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410200" y="1885950"/>
          <a:ext cx="2181225" cy="438150"/>
        </a:xfrm>
        <a:prstGeom prst="rect">
          <a:avLst/>
        </a:prstGeom>
        <a:noFill/>
        <a:ln w="9525">
          <a:noFill/>
          <a:miter lim="800000"/>
          <a:headEnd/>
          <a:tailEnd/>
        </a:ln>
      </xdr:spPr>
    </xdr:pic>
    <xdr:clientData/>
  </xdr:twoCellAnchor>
  <xdr:twoCellAnchor editAs="oneCell">
    <xdr:from>
      <xdr:col>8</xdr:col>
      <xdr:colOff>47625</xdr:colOff>
      <xdr:row>7</xdr:row>
      <xdr:rowOff>97155</xdr:rowOff>
    </xdr:from>
    <xdr:to>
      <xdr:col>11</xdr:col>
      <xdr:colOff>445813</xdr:colOff>
      <xdr:row>9</xdr:row>
      <xdr:rowOff>114391</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1</xdr:col>
      <xdr:colOff>9525</xdr:colOff>
      <xdr:row>1</xdr:row>
      <xdr:rowOff>9525</xdr:rowOff>
    </xdr:from>
    <xdr:to>
      <xdr:col>2</xdr:col>
      <xdr:colOff>133350</xdr:colOff>
      <xdr:row>2</xdr:row>
      <xdr:rowOff>0</xdr:rowOff>
    </xdr:to>
    <xdr:pic>
      <xdr:nvPicPr>
        <xdr:cNvPr id="1996693" name="Picture 17" descr="http://www.crwflags.com/fotw/images/g/gh.gif"/>
        <xdr:cNvPicPr>
          <a:picLocks noChangeAspect="1" noChangeArrowheads="1"/>
        </xdr:cNvPicPr>
      </xdr:nvPicPr>
      <xdr:blipFill>
        <a:blip xmlns:r="http://schemas.openxmlformats.org/officeDocument/2006/relationships" r:embed="rId14" cstate="print"/>
        <a:srcRect/>
        <a:stretch>
          <a:fillRect/>
        </a:stretch>
      </xdr:blipFill>
      <xdr:spPr bwMode="auto">
        <a:xfrm>
          <a:off x="85725" y="333375"/>
          <a:ext cx="88582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133350</xdr:colOff>
      <xdr:row>4</xdr:row>
      <xdr:rowOff>85725</xdr:rowOff>
    </xdr:to>
    <xdr:pic>
      <xdr:nvPicPr>
        <xdr:cNvPr id="27827"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52475"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1028431</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1085850</xdr:colOff>
      <xdr:row>34</xdr:row>
      <xdr:rowOff>133350</xdr:rowOff>
    </xdr:from>
    <xdr:to>
      <xdr:col>6</xdr:col>
      <xdr:colOff>1085850</xdr:colOff>
      <xdr:row>45</xdr:row>
      <xdr:rowOff>133350</xdr:rowOff>
    </xdr:to>
    <xdr:cxnSp macro="">
      <xdr:nvCxnSpPr>
        <xdr:cNvPr id="1733789" name="AutoShape 100"/>
        <xdr:cNvCxnSpPr>
          <a:cxnSpLocks noChangeShapeType="1"/>
        </xdr:cNvCxnSpPr>
      </xdr:nvCxnSpPr>
      <xdr:spPr bwMode="auto">
        <a:xfrm rot="5400000">
          <a:off x="7762875" y="6772275"/>
          <a:ext cx="2762250"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95250</xdr:rowOff>
    </xdr:from>
    <xdr:to>
      <xdr:col>4</xdr:col>
      <xdr:colOff>1066800</xdr:colOff>
      <xdr:row>46</xdr:row>
      <xdr:rowOff>95250</xdr:rowOff>
    </xdr:to>
    <xdr:cxnSp macro="">
      <xdr:nvCxnSpPr>
        <xdr:cNvPr id="1733790" name="AutoShape 101"/>
        <xdr:cNvCxnSpPr>
          <a:cxnSpLocks noChangeShapeType="1"/>
        </xdr:cNvCxnSpPr>
      </xdr:nvCxnSpPr>
      <xdr:spPr bwMode="auto">
        <a:xfrm rot="10800000">
          <a:off x="5943600" y="8315325"/>
          <a:ext cx="1066800" cy="0"/>
        </a:xfrm>
        <a:prstGeom prst="straightConnector1">
          <a:avLst/>
        </a:prstGeom>
        <a:noFill/>
        <a:ln w="9525">
          <a:solidFill>
            <a:srgbClr val="000000"/>
          </a:solidFill>
          <a:round/>
          <a:headEnd type="triangle" w="med" len="med"/>
          <a:tailEnd type="triangle" w="med" len="med"/>
        </a:ln>
      </xdr:spPr>
    </xdr:cxnSp>
    <xdr:clientData/>
  </xdr:twoCellAnchor>
  <xdr:twoCellAnchor editAs="oneCell">
    <xdr:from>
      <xdr:col>1</xdr:col>
      <xdr:colOff>66675</xdr:colOff>
      <xdr:row>3</xdr:row>
      <xdr:rowOff>19050</xdr:rowOff>
    </xdr:from>
    <xdr:to>
      <xdr:col>1</xdr:col>
      <xdr:colOff>847725</xdr:colOff>
      <xdr:row>5</xdr:row>
      <xdr:rowOff>133350</xdr:rowOff>
    </xdr:to>
    <xdr:pic>
      <xdr:nvPicPr>
        <xdr:cNvPr id="1733791"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1190625" y="647700"/>
          <a:ext cx="781050"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198120</xdr:colOff>
      <xdr:row>2</xdr:row>
      <xdr:rowOff>0</xdr:rowOff>
    </xdr:from>
    <xdr:to>
      <xdr:col>0</xdr:col>
      <xdr:colOff>1265169</xdr:colOff>
      <xdr:row>2</xdr:row>
      <xdr:rowOff>453451</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11430</xdr:rowOff>
    </xdr:from>
    <xdr:to>
      <xdr:col>0</xdr:col>
      <xdr:colOff>1198323</xdr:colOff>
      <xdr:row>1</xdr:row>
      <xdr:rowOff>78105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0</xdr:col>
      <xdr:colOff>180975</xdr:colOff>
      <xdr:row>2</xdr:row>
      <xdr:rowOff>9525</xdr:rowOff>
    </xdr:from>
    <xdr:to>
      <xdr:col>0</xdr:col>
      <xdr:colOff>1276350</xdr:colOff>
      <xdr:row>3</xdr:row>
      <xdr:rowOff>66675</xdr:rowOff>
    </xdr:to>
    <xdr:pic>
      <xdr:nvPicPr>
        <xdr:cNvPr id="9753"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600075"/>
          <a:ext cx="1095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171450</xdr:rowOff>
    </xdr:to>
    <xdr:graphicFrame macro="">
      <xdr:nvGraphicFramePr>
        <xdr:cNvPr id="141472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2</xdr:col>
      <xdr:colOff>0</xdr:colOff>
      <xdr:row>0</xdr:row>
      <xdr:rowOff>354373</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9525</xdr:rowOff>
    </xdr:from>
    <xdr:to>
      <xdr:col>11</xdr:col>
      <xdr:colOff>247650</xdr:colOff>
      <xdr:row>20</xdr:row>
      <xdr:rowOff>133350</xdr:rowOff>
    </xdr:to>
    <xdr:grpSp>
      <xdr:nvGrpSpPr>
        <xdr:cNvPr id="1414725" name="Group 489"/>
        <xdr:cNvGrpSpPr>
          <a:grpSpLocks/>
        </xdr:cNvGrpSpPr>
      </xdr:nvGrpSpPr>
      <xdr:grpSpPr bwMode="auto">
        <a:xfrm>
          <a:off x="3905250" y="2124075"/>
          <a:ext cx="3733800" cy="2219325"/>
          <a:chOff x="410" y="229"/>
          <a:chExt cx="366" cy="234"/>
        </a:xfrm>
      </xdr:grpSpPr>
      <xdr:graphicFrame macro="">
        <xdr:nvGraphicFramePr>
          <xdr:cNvPr id="1414730"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414731"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34</xdr:row>
      <xdr:rowOff>171450</xdr:rowOff>
    </xdr:to>
    <xdr:grpSp>
      <xdr:nvGrpSpPr>
        <xdr:cNvPr id="1414726" name="Group 490"/>
        <xdr:cNvGrpSpPr>
          <a:grpSpLocks/>
        </xdr:cNvGrpSpPr>
      </xdr:nvGrpSpPr>
      <xdr:grpSpPr bwMode="auto">
        <a:xfrm>
          <a:off x="0" y="4810125"/>
          <a:ext cx="3876675" cy="2838450"/>
          <a:chOff x="0" y="505"/>
          <a:chExt cx="407" cy="245"/>
        </a:xfrm>
      </xdr:grpSpPr>
      <xdr:graphicFrame macro="">
        <xdr:nvGraphicFramePr>
          <xdr:cNvPr id="1414728"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414729"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twoCellAnchor editAs="oneCell">
    <xdr:from>
      <xdr:col>1</xdr:col>
      <xdr:colOff>0</xdr:colOff>
      <xdr:row>1</xdr:row>
      <xdr:rowOff>0</xdr:rowOff>
    </xdr:from>
    <xdr:to>
      <xdr:col>1</xdr:col>
      <xdr:colOff>800100</xdr:colOff>
      <xdr:row>2</xdr:row>
      <xdr:rowOff>9525</xdr:rowOff>
    </xdr:to>
    <xdr:pic>
      <xdr:nvPicPr>
        <xdr:cNvPr id="1414727"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38125" y="390525"/>
          <a:ext cx="752475"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247650</xdr:colOff>
      <xdr:row>14</xdr:row>
      <xdr:rowOff>152400</xdr:rowOff>
    </xdr:to>
    <xdr:graphicFrame macro="">
      <xdr:nvGraphicFramePr>
        <xdr:cNvPr id="1826015"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1047750</xdr:colOff>
      <xdr:row>25</xdr:row>
      <xdr:rowOff>28575</xdr:rowOff>
    </xdr:to>
    <xdr:graphicFrame macro="">
      <xdr:nvGraphicFramePr>
        <xdr:cNvPr id="1826016"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1200150</xdr:colOff>
      <xdr:row>14</xdr:row>
      <xdr:rowOff>66675</xdr:rowOff>
    </xdr:to>
    <xdr:graphicFrame macro="">
      <xdr:nvGraphicFramePr>
        <xdr:cNvPr id="1826017"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1826018"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27</xdr:row>
      <xdr:rowOff>47625</xdr:rowOff>
    </xdr:from>
    <xdr:to>
      <xdr:col>5</xdr:col>
      <xdr:colOff>714375</xdr:colOff>
      <xdr:row>33</xdr:row>
      <xdr:rowOff>247650</xdr:rowOff>
    </xdr:to>
    <xdr:graphicFrame macro="">
      <xdr:nvGraphicFramePr>
        <xdr:cNvPr id="1826019"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45720</xdr:colOff>
      <xdr:row>0</xdr:row>
      <xdr:rowOff>11430</xdr:rowOff>
    </xdr:from>
    <xdr:to>
      <xdr:col>2</xdr:col>
      <xdr:colOff>54</xdr:colOff>
      <xdr:row>0</xdr:row>
      <xdr:rowOff>352558</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1826021" name="Picture 17" descr="http://www.crwflags.com/fotw/images/g/gh.gif"/>
        <xdr:cNvPicPr>
          <a:picLocks noChangeAspect="1" noChangeArrowheads="1"/>
        </xdr:cNvPicPr>
      </xdr:nvPicPr>
      <xdr:blipFill>
        <a:blip xmlns:r="http://schemas.openxmlformats.org/officeDocument/2006/relationships" r:embed="rId7" cstate="print"/>
        <a:srcRect/>
        <a:stretch>
          <a:fillRect/>
        </a:stretch>
      </xdr:blipFill>
      <xdr:spPr bwMode="auto">
        <a:xfrm>
          <a:off x="219075" y="361950"/>
          <a:ext cx="714375"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180975</xdr:colOff>
      <xdr:row>10</xdr:row>
      <xdr:rowOff>28575</xdr:rowOff>
    </xdr:from>
    <xdr:to>
      <xdr:col>11</xdr:col>
      <xdr:colOff>57150</xdr:colOff>
      <xdr:row>18</xdr:row>
      <xdr:rowOff>142875</xdr:rowOff>
    </xdr:to>
    <xdr:graphicFrame macro="">
      <xdr:nvGraphicFramePr>
        <xdr:cNvPr id="2137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361950</xdr:colOff>
      <xdr:row>9</xdr:row>
      <xdr:rowOff>209550</xdr:rowOff>
    </xdr:from>
    <xdr:to>
      <xdr:col>16</xdr:col>
      <xdr:colOff>771525</xdr:colOff>
      <xdr:row>17</xdr:row>
      <xdr:rowOff>9525</xdr:rowOff>
    </xdr:to>
    <xdr:graphicFrame macro="">
      <xdr:nvGraphicFramePr>
        <xdr:cNvPr id="21373"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733425</xdr:colOff>
      <xdr:row>9</xdr:row>
      <xdr:rowOff>95250</xdr:rowOff>
    </xdr:from>
    <xdr:to>
      <xdr:col>4</xdr:col>
      <xdr:colOff>438150</xdr:colOff>
      <xdr:row>17</xdr:row>
      <xdr:rowOff>57150</xdr:rowOff>
    </xdr:to>
    <xdr:graphicFrame macro="">
      <xdr:nvGraphicFramePr>
        <xdr:cNvPr id="21374"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323850</xdr:rowOff>
    </xdr:from>
    <xdr:to>
      <xdr:col>1</xdr:col>
      <xdr:colOff>647700</xdr:colOff>
      <xdr:row>2</xdr:row>
      <xdr:rowOff>9525</xdr:rowOff>
    </xdr:to>
    <xdr:pic>
      <xdr:nvPicPr>
        <xdr:cNvPr id="21375" name="Picture 17" descr="http://www.crwflags.com/fotw/images/g/gh.gif"/>
        <xdr:cNvPicPr>
          <a:picLocks noChangeAspect="1" noChangeArrowheads="1"/>
        </xdr:cNvPicPr>
      </xdr:nvPicPr>
      <xdr:blipFill>
        <a:blip xmlns:r="http://schemas.openxmlformats.org/officeDocument/2006/relationships" r:embed="rId5" cstate="print"/>
        <a:srcRect/>
        <a:stretch>
          <a:fillRect/>
        </a:stretch>
      </xdr:blipFill>
      <xdr:spPr bwMode="auto">
        <a:xfrm>
          <a:off x="28575" y="323850"/>
          <a:ext cx="647700" cy="2952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95250</xdr:colOff>
      <xdr:row>20</xdr:row>
      <xdr:rowOff>0</xdr:rowOff>
    </xdr:to>
    <xdr:grpSp>
      <xdr:nvGrpSpPr>
        <xdr:cNvPr id="1834429" name="Group 41"/>
        <xdr:cNvGrpSpPr>
          <a:grpSpLocks/>
        </xdr:cNvGrpSpPr>
      </xdr:nvGrpSpPr>
      <xdr:grpSpPr bwMode="auto">
        <a:xfrm>
          <a:off x="5553075" y="5143500"/>
          <a:ext cx="95250" cy="0"/>
          <a:chOff x="595" y="540"/>
          <a:chExt cx="9" cy="9"/>
        </a:xfrm>
      </xdr:grpSpPr>
      <xdr:sp macro="" textlink="">
        <xdr:nvSpPr>
          <xdr:cNvPr id="1834441"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1834442"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1085850</xdr:colOff>
      <xdr:row>20</xdr:row>
      <xdr:rowOff>0</xdr:rowOff>
    </xdr:from>
    <xdr:to>
      <xdr:col>9</xdr:col>
      <xdr:colOff>9525</xdr:colOff>
      <xdr:row>20</xdr:row>
      <xdr:rowOff>0</xdr:rowOff>
    </xdr:to>
    <xdr:grpSp>
      <xdr:nvGrpSpPr>
        <xdr:cNvPr id="1834430" name="Group 44"/>
        <xdr:cNvGrpSpPr>
          <a:grpSpLocks/>
        </xdr:cNvGrpSpPr>
      </xdr:nvGrpSpPr>
      <xdr:grpSpPr bwMode="auto">
        <a:xfrm>
          <a:off x="6610350" y="5143500"/>
          <a:ext cx="9525" cy="0"/>
          <a:chOff x="698" y="540"/>
          <a:chExt cx="9" cy="9"/>
        </a:xfrm>
      </xdr:grpSpPr>
      <xdr:sp macro="" textlink="">
        <xdr:nvSpPr>
          <xdr:cNvPr id="18344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18344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847725</xdr:colOff>
      <xdr:row>20</xdr:row>
      <xdr:rowOff>0</xdr:rowOff>
    </xdr:from>
    <xdr:to>
      <xdr:col>7</xdr:col>
      <xdr:colOff>0</xdr:colOff>
      <xdr:row>20</xdr:row>
      <xdr:rowOff>0</xdr:rowOff>
    </xdr:to>
    <xdr:grpSp>
      <xdr:nvGrpSpPr>
        <xdr:cNvPr id="1834431" name="Group 47"/>
        <xdr:cNvGrpSpPr>
          <a:grpSpLocks/>
        </xdr:cNvGrpSpPr>
      </xdr:nvGrpSpPr>
      <xdr:grpSpPr bwMode="auto">
        <a:xfrm>
          <a:off x="5248275" y="5143500"/>
          <a:ext cx="19050" cy="0"/>
          <a:chOff x="698" y="540"/>
          <a:chExt cx="9" cy="9"/>
        </a:xfrm>
      </xdr:grpSpPr>
      <xdr:sp macro="" textlink="">
        <xdr:nvSpPr>
          <xdr:cNvPr id="18344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18344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95250</xdr:colOff>
      <xdr:row>20</xdr:row>
      <xdr:rowOff>0</xdr:rowOff>
    </xdr:to>
    <xdr:grpSp>
      <xdr:nvGrpSpPr>
        <xdr:cNvPr id="1834432" name="Group 50"/>
        <xdr:cNvGrpSpPr>
          <a:grpSpLocks/>
        </xdr:cNvGrpSpPr>
      </xdr:nvGrpSpPr>
      <xdr:grpSpPr bwMode="auto">
        <a:xfrm>
          <a:off x="1438275" y="5143500"/>
          <a:ext cx="95250" cy="0"/>
          <a:chOff x="595" y="540"/>
          <a:chExt cx="9" cy="9"/>
        </a:xfrm>
      </xdr:grpSpPr>
      <xdr:sp macro="" textlink="">
        <xdr:nvSpPr>
          <xdr:cNvPr id="1834435"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1834436"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1268721</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790575</xdr:colOff>
      <xdr:row>2</xdr:row>
      <xdr:rowOff>9525</xdr:rowOff>
    </xdr:to>
    <xdr:pic>
      <xdr:nvPicPr>
        <xdr:cNvPr id="1834434" name="Picture 17" descr="http://www.crwflags.com/fotw/images/g/gh.gif"/>
        <xdr:cNvPicPr>
          <a:picLocks noChangeAspect="1" noChangeArrowheads="1"/>
        </xdr:cNvPicPr>
      </xdr:nvPicPr>
      <xdr:blipFill>
        <a:blip xmlns:r="http://schemas.openxmlformats.org/officeDocument/2006/relationships" r:embed="rId2" cstate="print"/>
        <a:srcRect/>
        <a:stretch>
          <a:fillRect/>
        </a:stretch>
      </xdr:blipFill>
      <xdr:spPr bwMode="auto">
        <a:xfrm>
          <a:off x="76200" y="485775"/>
          <a:ext cx="790575" cy="3619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1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884102</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editAs="oneCell">
    <xdr:from>
      <xdr:col>1</xdr:col>
      <xdr:colOff>0</xdr:colOff>
      <xdr:row>1</xdr:row>
      <xdr:rowOff>0</xdr:rowOff>
    </xdr:from>
    <xdr:to>
      <xdr:col>1</xdr:col>
      <xdr:colOff>771525</xdr:colOff>
      <xdr:row>2</xdr:row>
      <xdr:rowOff>9525</xdr:rowOff>
    </xdr:to>
    <xdr:pic>
      <xdr:nvPicPr>
        <xdr:cNvPr id="26137" name="Picture 17" descr="http://www.crwflags.com/fotw/images/g/gh.gif"/>
        <xdr:cNvPicPr>
          <a:picLocks noChangeAspect="1" noChangeArrowheads="1"/>
        </xdr:cNvPicPr>
      </xdr:nvPicPr>
      <xdr:blipFill>
        <a:blip xmlns:r="http://schemas.openxmlformats.org/officeDocument/2006/relationships" r:embed="rId3" cstate="print"/>
        <a:srcRect/>
        <a:stretch>
          <a:fillRect/>
        </a:stretch>
      </xdr:blipFill>
      <xdr:spPr bwMode="auto">
        <a:xfrm>
          <a:off x="276225" y="390525"/>
          <a:ext cx="771525"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4" zoomScale="120" workbookViewId="0">
      <selection activeCell="L7" sqref="L7"/>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08" t="str">
        <f>+'Grant Detail'!B3:J3</f>
        <v>Dashboard:  Ghana - HIV / AIDS  (PPAG)</v>
      </c>
      <c r="C2" s="508"/>
      <c r="D2" s="508"/>
      <c r="E2" s="508"/>
      <c r="F2" s="508"/>
      <c r="G2" s="508"/>
      <c r="H2" s="508"/>
      <c r="I2" s="508"/>
      <c r="J2" s="508"/>
      <c r="K2" s="508"/>
      <c r="L2" s="508"/>
      <c r="M2" s="1"/>
      <c r="N2" s="1"/>
      <c r="O2" s="1"/>
    </row>
    <row r="4" spans="2:15" ht="21">
      <c r="B4" s="509" t="str">
        <f>+IF('Data Entry'!G6="Please Select", "",'Data Entry'!G6) &amp;"  "&amp;+IF('Data Entry'!G8="Please Select", "", 'Data Entry'!G8&amp;",  ")&amp;+IF('Data Entry'!I8="Please Select","",'Data Entry'!I8)</f>
        <v xml:space="preserve">HIV / AIDS  </v>
      </c>
      <c r="C4" s="509"/>
      <c r="D4" s="509"/>
      <c r="E4" s="510"/>
      <c r="F4" s="229"/>
      <c r="G4" s="229"/>
      <c r="H4" s="328" t="str">
        <f>+'Data Entry'!B6&amp;" "&amp;+'Data Entry'!C6</f>
        <v>Grant No.: GHN-809-G10-H</v>
      </c>
      <c r="I4" s="328"/>
      <c r="J4" s="228"/>
      <c r="K4" s="229"/>
      <c r="L4" s="229"/>
    </row>
    <row r="22" spans="2:12" ht="26.25">
      <c r="B22" s="511" t="s">
        <v>387</v>
      </c>
      <c r="C22" s="512"/>
      <c r="D22" s="512"/>
      <c r="E22" s="512"/>
      <c r="F22" s="512"/>
      <c r="G22" s="512"/>
      <c r="H22" s="512"/>
      <c r="I22" s="512"/>
      <c r="J22" s="512"/>
      <c r="K22" s="512"/>
      <c r="L22" s="512"/>
    </row>
  </sheetData>
  <sheetProtection password="CFC9" sheet="1"/>
  <mergeCells count="3">
    <mergeCell ref="B2:L2"/>
    <mergeCell ref="B4:E4"/>
    <mergeCell ref="B22:L22"/>
  </mergeCells>
  <phoneticPr fontId="32"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G30"/>
  <sheetViews>
    <sheetView workbookViewId="0">
      <selection activeCell="A4" sqref="A4"/>
    </sheetView>
  </sheetViews>
  <sheetFormatPr defaultRowHeight="15"/>
  <cols>
    <col min="1" max="1" width="10.140625" bestFit="1" customWidth="1"/>
    <col min="2" max="2" width="13.140625" customWidth="1"/>
    <col min="5" max="5" width="5.7109375" customWidth="1"/>
    <col min="6" max="6" width="103.5703125" customWidth="1"/>
    <col min="7" max="7" width="0.140625" customWidth="1"/>
  </cols>
  <sheetData>
    <row r="1" spans="1:7">
      <c r="A1" s="74" t="s">
        <v>411</v>
      </c>
      <c r="B1" s="74"/>
    </row>
    <row r="2" spans="1:7">
      <c r="F2" s="474" t="s">
        <v>412</v>
      </c>
    </row>
    <row r="3" spans="1:7" ht="25.5">
      <c r="A3" s="475" t="s">
        <v>413</v>
      </c>
      <c r="B3" s="475" t="s">
        <v>414</v>
      </c>
      <c r="C3" s="475" t="s">
        <v>415</v>
      </c>
      <c r="D3" s="475" t="s">
        <v>416</v>
      </c>
      <c r="E3" s="475" t="s">
        <v>417</v>
      </c>
      <c r="F3" s="496" t="s">
        <v>418</v>
      </c>
    </row>
    <row r="4" spans="1:7" ht="59.25" customHeight="1">
      <c r="A4" s="491"/>
      <c r="B4" s="492"/>
      <c r="C4" s="492"/>
      <c r="D4" s="492"/>
      <c r="E4" s="492"/>
      <c r="F4" s="497"/>
    </row>
    <row r="5" spans="1:7">
      <c r="A5" s="491"/>
      <c r="B5" s="492"/>
      <c r="C5" s="492"/>
      <c r="D5" s="492"/>
      <c r="E5" s="492"/>
      <c r="F5" s="897"/>
      <c r="G5" s="898"/>
    </row>
    <row r="6" spans="1:7" ht="39.950000000000003" customHeight="1">
      <c r="A6" s="491"/>
      <c r="B6" s="492"/>
      <c r="C6" s="492"/>
      <c r="D6" s="492"/>
      <c r="E6" s="492"/>
      <c r="F6" s="897"/>
      <c r="G6" s="898"/>
    </row>
    <row r="7" spans="1:7" ht="29.25" customHeight="1">
      <c r="A7" s="491"/>
      <c r="B7" s="492"/>
      <c r="C7" s="492"/>
      <c r="D7" s="492"/>
      <c r="E7" s="492"/>
      <c r="F7" s="897"/>
      <c r="G7" s="898"/>
    </row>
    <row r="8" spans="1:7" ht="46.5" customHeight="1">
      <c r="A8" s="491"/>
      <c r="B8" s="492"/>
      <c r="C8" s="492"/>
      <c r="D8" s="492"/>
      <c r="E8" s="492"/>
      <c r="F8" s="897"/>
      <c r="G8" s="898"/>
    </row>
    <row r="9" spans="1:7">
      <c r="A9" s="491"/>
      <c r="B9" s="492"/>
      <c r="C9" s="492"/>
      <c r="D9" s="492"/>
      <c r="E9" s="492"/>
      <c r="F9" s="897"/>
      <c r="G9" s="898"/>
    </row>
    <row r="10" spans="1:7" ht="37.5" customHeight="1">
      <c r="A10" s="491"/>
      <c r="B10" s="492"/>
      <c r="C10" s="492"/>
      <c r="D10" s="492"/>
      <c r="E10" s="492"/>
      <c r="F10" s="897"/>
      <c r="G10" s="898"/>
    </row>
    <row r="11" spans="1:7" ht="51.75" customHeight="1">
      <c r="A11" s="491"/>
      <c r="B11" s="492"/>
      <c r="C11" s="492"/>
      <c r="D11" s="492"/>
      <c r="E11" s="492"/>
      <c r="F11" s="897"/>
      <c r="G11" s="898"/>
    </row>
    <row r="12" spans="1:7" ht="32.25" customHeight="1">
      <c r="A12" s="491"/>
      <c r="B12" s="492"/>
      <c r="C12" s="492"/>
      <c r="D12" s="492"/>
      <c r="E12" s="492"/>
      <c r="F12" s="897"/>
      <c r="G12" s="898"/>
    </row>
    <row r="13" spans="1:7">
      <c r="A13" s="491"/>
      <c r="B13" s="492"/>
      <c r="C13" s="492"/>
      <c r="D13" s="492"/>
      <c r="E13" s="492"/>
      <c r="F13" s="497"/>
    </row>
    <row r="14" spans="1:7">
      <c r="A14" s="491"/>
      <c r="B14" s="492"/>
      <c r="C14" s="492"/>
      <c r="D14" s="492"/>
      <c r="E14" s="492"/>
      <c r="F14" s="497"/>
    </row>
    <row r="15" spans="1:7">
      <c r="A15" s="491"/>
      <c r="B15" s="492"/>
      <c r="C15" s="492"/>
      <c r="D15" s="492"/>
      <c r="E15" s="492"/>
      <c r="F15" s="497"/>
    </row>
    <row r="16" spans="1:7">
      <c r="A16" s="491"/>
      <c r="B16" s="492"/>
      <c r="C16" s="492"/>
      <c r="D16" s="492"/>
      <c r="E16" s="492"/>
      <c r="F16" s="497"/>
    </row>
    <row r="17" spans="1:6">
      <c r="A17" s="491"/>
      <c r="B17" s="492"/>
      <c r="C17" s="492"/>
      <c r="D17" s="492"/>
      <c r="E17" s="492"/>
      <c r="F17" s="497"/>
    </row>
    <row r="18" spans="1:6">
      <c r="A18" s="491"/>
      <c r="B18" s="492"/>
      <c r="C18" s="492"/>
      <c r="D18" s="492"/>
      <c r="E18" s="492"/>
      <c r="F18" s="497"/>
    </row>
    <row r="19" spans="1:6">
      <c r="A19" s="491"/>
      <c r="B19" s="492"/>
      <c r="C19" s="492"/>
      <c r="D19" s="492"/>
      <c r="E19" s="492"/>
      <c r="F19" s="497"/>
    </row>
    <row r="20" spans="1:6">
      <c r="A20" s="491"/>
      <c r="B20" s="492"/>
      <c r="C20" s="492"/>
      <c r="D20" s="492"/>
      <c r="E20" s="492"/>
      <c r="F20" s="497"/>
    </row>
    <row r="21" spans="1:6">
      <c r="A21" s="491"/>
      <c r="B21" s="492"/>
      <c r="C21" s="492"/>
      <c r="D21" s="492"/>
      <c r="E21" s="492"/>
      <c r="F21" s="497"/>
    </row>
    <row r="22" spans="1:6">
      <c r="A22" s="491"/>
      <c r="B22" s="492"/>
      <c r="C22" s="492"/>
      <c r="D22" s="492"/>
      <c r="E22" s="492"/>
      <c r="F22" s="497"/>
    </row>
    <row r="23" spans="1:6">
      <c r="A23" s="491"/>
      <c r="B23" s="492"/>
      <c r="C23" s="492"/>
      <c r="D23" s="492"/>
      <c r="E23" s="492"/>
      <c r="F23" s="497"/>
    </row>
    <row r="24" spans="1:6">
      <c r="A24" s="491"/>
      <c r="B24" s="492"/>
      <c r="C24" s="492"/>
      <c r="D24" s="492"/>
      <c r="E24" s="492"/>
      <c r="F24" s="497"/>
    </row>
    <row r="25" spans="1:6">
      <c r="A25" s="491"/>
      <c r="B25" s="492"/>
      <c r="C25" s="492"/>
      <c r="D25" s="492"/>
      <c r="E25" s="492"/>
      <c r="F25" s="497"/>
    </row>
    <row r="26" spans="1:6">
      <c r="A26" s="491"/>
      <c r="B26" s="492"/>
      <c r="C26" s="492"/>
      <c r="D26" s="492"/>
      <c r="E26" s="492"/>
      <c r="F26" s="497"/>
    </row>
    <row r="27" spans="1:6">
      <c r="A27" s="491"/>
      <c r="B27" s="492"/>
      <c r="C27" s="492"/>
      <c r="D27" s="492"/>
      <c r="E27" s="492"/>
      <c r="F27" s="497"/>
    </row>
    <row r="28" spans="1:6">
      <c r="A28" s="491"/>
      <c r="B28" s="492"/>
      <c r="C28" s="492"/>
      <c r="D28" s="492"/>
      <c r="E28" s="492"/>
      <c r="F28" s="497"/>
    </row>
    <row r="29" spans="1:6">
      <c r="A29" s="491"/>
      <c r="B29" s="492"/>
      <c r="C29" s="492"/>
      <c r="D29" s="492"/>
      <c r="E29" s="492"/>
      <c r="F29" s="497"/>
    </row>
    <row r="30" spans="1:6">
      <c r="A30" s="491"/>
      <c r="B30" s="492"/>
      <c r="C30" s="492"/>
      <c r="D30" s="492"/>
      <c r="E30" s="492"/>
      <c r="F30" s="497"/>
    </row>
  </sheetData>
  <mergeCells count="8">
    <mergeCell ref="F5:G5"/>
    <mergeCell ref="F9:G9"/>
    <mergeCell ref="F7:G7"/>
    <mergeCell ref="F11:G11"/>
    <mergeCell ref="F12:G12"/>
    <mergeCell ref="F6:G6"/>
    <mergeCell ref="F8:G8"/>
    <mergeCell ref="F10:G10"/>
  </mergeCells>
  <phoneticPr fontId="32" type="noConversion"/>
  <pageMargins left="0.75" right="0.75" top="1" bottom="1" header="0.5" footer="0.5"/>
  <pageSetup orientation="landscape" horizont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zoomScale="80" zoomScaleNormal="80" workbookViewId="0">
      <selection activeCell="I30" sqref="I30"/>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899" t="str">
        <f>'Grant Detail'!B3:J3</f>
        <v>Dashboard:  Ghana - HIV / AIDS  (PPAG)</v>
      </c>
      <c r="C3" s="899"/>
      <c r="D3" s="899"/>
      <c r="E3" s="899"/>
      <c r="F3" s="899"/>
      <c r="G3" s="899"/>
      <c r="H3" s="899"/>
      <c r="I3" s="1"/>
    </row>
    <row r="6" spans="2:15" ht="18.75">
      <c r="B6" s="894" t="s">
        <v>322</v>
      </c>
      <c r="C6" s="894"/>
      <c r="D6" s="894"/>
      <c r="E6" s="894"/>
      <c r="F6" s="894"/>
      <c r="G6" s="894"/>
      <c r="H6" s="894"/>
    </row>
    <row r="8" spans="2:15" ht="18.75">
      <c r="B8" s="62" t="s">
        <v>40</v>
      </c>
      <c r="C8" s="62" t="s">
        <v>43</v>
      </c>
      <c r="D8" s="62" t="s">
        <v>44</v>
      </c>
      <c r="E8" s="62" t="s">
        <v>49</v>
      </c>
      <c r="F8" s="62" t="s">
        <v>292</v>
      </c>
      <c r="G8" s="62" t="s">
        <v>272</v>
      </c>
      <c r="H8" s="62" t="s">
        <v>299</v>
      </c>
      <c r="I8" s="63" t="s">
        <v>94</v>
      </c>
      <c r="J8" s="63" t="s">
        <v>136</v>
      </c>
      <c r="M8" s="19"/>
      <c r="N8" s="19"/>
      <c r="O8" s="19"/>
    </row>
    <row r="9" spans="2:15">
      <c r="B9" s="86" t="s">
        <v>360</v>
      </c>
      <c r="C9" s="86" t="s">
        <v>360</v>
      </c>
      <c r="D9" s="86" t="s">
        <v>360</v>
      </c>
      <c r="E9" s="86" t="s">
        <v>360</v>
      </c>
      <c r="F9" s="86" t="s">
        <v>360</v>
      </c>
      <c r="G9" s="86" t="s">
        <v>360</v>
      </c>
      <c r="H9" s="86" t="s">
        <v>360</v>
      </c>
      <c r="I9" s="397" t="s">
        <v>360</v>
      </c>
      <c r="J9" s="86" t="s">
        <v>360</v>
      </c>
      <c r="M9" s="19"/>
      <c r="N9" s="19"/>
      <c r="O9" s="19"/>
    </row>
    <row r="10" spans="2:15">
      <c r="B10" s="57" t="s">
        <v>35</v>
      </c>
      <c r="C10" s="57" t="s">
        <v>26</v>
      </c>
      <c r="D10" s="57" t="s">
        <v>24</v>
      </c>
      <c r="E10" s="57" t="s">
        <v>25</v>
      </c>
      <c r="F10" s="57" t="s">
        <v>112</v>
      </c>
      <c r="G10" s="406" t="s">
        <v>51</v>
      </c>
      <c r="H10" s="60" t="s">
        <v>56</v>
      </c>
      <c r="I10" s="27" t="s">
        <v>304</v>
      </c>
      <c r="J10" s="86" t="s">
        <v>137</v>
      </c>
      <c r="M10" s="19"/>
      <c r="N10" s="19"/>
      <c r="O10" s="19"/>
    </row>
    <row r="11" spans="2:15">
      <c r="B11" s="57" t="s">
        <v>41</v>
      </c>
      <c r="C11" s="57" t="s">
        <v>21</v>
      </c>
      <c r="D11" s="57" t="s">
        <v>27</v>
      </c>
      <c r="E11" s="57" t="s">
        <v>23</v>
      </c>
      <c r="F11" s="57" t="s">
        <v>113</v>
      </c>
      <c r="G11" s="406" t="s">
        <v>52</v>
      </c>
      <c r="H11" s="60" t="s">
        <v>57</v>
      </c>
      <c r="I11" s="27" t="s">
        <v>305</v>
      </c>
      <c r="J11" s="86" t="s">
        <v>138</v>
      </c>
      <c r="M11" s="19"/>
      <c r="N11" s="19"/>
      <c r="O11" s="19"/>
    </row>
    <row r="12" spans="2:15">
      <c r="B12" s="57" t="s">
        <v>42</v>
      </c>
      <c r="D12" s="57" t="s">
        <v>30</v>
      </c>
      <c r="E12" s="57" t="s">
        <v>31</v>
      </c>
      <c r="F12" s="57" t="s">
        <v>114</v>
      </c>
      <c r="G12" s="406" t="s">
        <v>53</v>
      </c>
      <c r="H12" s="60" t="s">
        <v>58</v>
      </c>
      <c r="I12" s="27" t="s">
        <v>306</v>
      </c>
      <c r="J12" s="86" t="s">
        <v>139</v>
      </c>
      <c r="M12" s="196"/>
      <c r="N12" s="19"/>
      <c r="O12" s="19"/>
    </row>
    <row r="13" spans="2:15">
      <c r="B13" s="57" t="s">
        <v>90</v>
      </c>
      <c r="D13" s="57" t="s">
        <v>32</v>
      </c>
      <c r="E13" s="58"/>
      <c r="F13" s="57" t="s">
        <v>115</v>
      </c>
      <c r="G13" s="406" t="s">
        <v>54</v>
      </c>
      <c r="H13" s="60" t="s">
        <v>59</v>
      </c>
      <c r="I13" s="27" t="s">
        <v>307</v>
      </c>
      <c r="J13" s="86" t="s">
        <v>140</v>
      </c>
      <c r="M13" s="196"/>
      <c r="N13" s="19"/>
      <c r="O13" s="19"/>
    </row>
    <row r="14" spans="2:15">
      <c r="B14" s="57" t="s">
        <v>91</v>
      </c>
      <c r="D14" s="57" t="s">
        <v>45</v>
      </c>
      <c r="F14" s="57" t="s">
        <v>127</v>
      </c>
      <c r="G14" s="406" t="s">
        <v>55</v>
      </c>
      <c r="H14" s="60" t="s">
        <v>60</v>
      </c>
      <c r="I14" s="27" t="s">
        <v>278</v>
      </c>
      <c r="J14" s="86" t="s">
        <v>141</v>
      </c>
      <c r="M14" s="196"/>
      <c r="N14" s="19"/>
      <c r="O14" s="19"/>
    </row>
    <row r="15" spans="2:15">
      <c r="D15" s="57" t="s">
        <v>46</v>
      </c>
      <c r="F15" s="57" t="s">
        <v>128</v>
      </c>
      <c r="H15" s="60" t="s">
        <v>61</v>
      </c>
      <c r="I15" s="27" t="s">
        <v>77</v>
      </c>
      <c r="J15" s="86" t="s">
        <v>142</v>
      </c>
      <c r="M15" s="196"/>
      <c r="N15" s="19"/>
      <c r="O15" s="19"/>
    </row>
    <row r="16" spans="2:15">
      <c r="D16" s="57" t="s">
        <v>47</v>
      </c>
      <c r="F16" s="57" t="s">
        <v>129</v>
      </c>
      <c r="H16" s="60" t="s">
        <v>62</v>
      </c>
      <c r="I16" s="27" t="s">
        <v>78</v>
      </c>
      <c r="J16" s="86" t="s">
        <v>143</v>
      </c>
      <c r="M16" s="196"/>
      <c r="N16" s="19"/>
      <c r="O16" s="19"/>
    </row>
    <row r="17" spans="2:15">
      <c r="D17" s="57" t="s">
        <v>48</v>
      </c>
      <c r="F17" s="57" t="s">
        <v>130</v>
      </c>
      <c r="H17" s="60" t="s">
        <v>63</v>
      </c>
      <c r="I17" s="27" t="s">
        <v>79</v>
      </c>
      <c r="J17" s="86" t="s">
        <v>144</v>
      </c>
      <c r="M17" s="196"/>
      <c r="N17" s="19"/>
      <c r="O17" s="19"/>
    </row>
    <row r="18" spans="2:15">
      <c r="D18" s="57" t="s">
        <v>22</v>
      </c>
      <c r="F18" s="57" t="s">
        <v>131</v>
      </c>
      <c r="H18" s="60" t="s">
        <v>64</v>
      </c>
      <c r="I18" s="27" t="s">
        <v>80</v>
      </c>
      <c r="J18" s="86" t="s">
        <v>145</v>
      </c>
      <c r="M18" s="196"/>
      <c r="N18" s="19"/>
      <c r="O18" s="19"/>
    </row>
    <row r="19" spans="2:15">
      <c r="D19" s="405" t="s">
        <v>356</v>
      </c>
      <c r="F19" s="57" t="s">
        <v>132</v>
      </c>
      <c r="H19" s="60" t="s">
        <v>65</v>
      </c>
      <c r="I19" s="27" t="s">
        <v>81</v>
      </c>
      <c r="J19" s="86" t="s">
        <v>146</v>
      </c>
      <c r="M19" s="196"/>
      <c r="N19" s="19"/>
      <c r="O19" s="19"/>
    </row>
    <row r="20" spans="2:15">
      <c r="D20" s="59"/>
      <c r="F20" s="57" t="s">
        <v>133</v>
      </c>
      <c r="H20" s="60" t="s">
        <v>269</v>
      </c>
      <c r="I20" s="27" t="s">
        <v>82</v>
      </c>
      <c r="J20" s="86" t="s">
        <v>147</v>
      </c>
      <c r="M20" s="19"/>
      <c r="N20" s="19"/>
      <c r="O20" s="19"/>
    </row>
    <row r="21" spans="2:15">
      <c r="D21" s="61"/>
      <c r="F21" s="57" t="s">
        <v>293</v>
      </c>
      <c r="H21" s="61"/>
      <c r="I21" s="27" t="s">
        <v>84</v>
      </c>
      <c r="J21" s="86" t="s">
        <v>148</v>
      </c>
      <c r="M21" s="19"/>
      <c r="N21" s="19"/>
      <c r="O21" s="19"/>
    </row>
    <row r="22" spans="2:15">
      <c r="H22" s="61"/>
      <c r="I22" s="27" t="s">
        <v>85</v>
      </c>
      <c r="J22" s="86" t="s">
        <v>149</v>
      </c>
      <c r="M22" s="19"/>
      <c r="N22" s="19"/>
      <c r="O22" s="19"/>
    </row>
    <row r="23" spans="2:15">
      <c r="I23" s="27" t="s">
        <v>83</v>
      </c>
      <c r="J23" s="86" t="s">
        <v>150</v>
      </c>
      <c r="M23" s="19"/>
      <c r="N23" s="19"/>
      <c r="O23" s="19"/>
    </row>
    <row r="24" spans="2:15">
      <c r="I24" s="27" t="s">
        <v>314</v>
      </c>
      <c r="J24" s="86" t="s">
        <v>151</v>
      </c>
      <c r="M24" s="19"/>
      <c r="N24" s="19"/>
      <c r="O24" s="19"/>
    </row>
    <row r="25" spans="2:15">
      <c r="I25" s="45"/>
      <c r="J25" s="86" t="s">
        <v>152</v>
      </c>
    </row>
    <row r="26" spans="2:15">
      <c r="I26" s="27" t="s">
        <v>317</v>
      </c>
      <c r="J26" s="86" t="s">
        <v>153</v>
      </c>
    </row>
    <row r="27" spans="2:15">
      <c r="I27" s="27" t="s">
        <v>313</v>
      </c>
      <c r="J27" s="86" t="s">
        <v>154</v>
      </c>
    </row>
    <row r="28" spans="2:15">
      <c r="I28" s="45" t="s">
        <v>428</v>
      </c>
      <c r="J28" s="86" t="s">
        <v>155</v>
      </c>
    </row>
    <row r="29" spans="2:15">
      <c r="I29" s="45" t="s">
        <v>429</v>
      </c>
      <c r="J29" s="86" t="s">
        <v>156</v>
      </c>
    </row>
    <row r="30" spans="2:15">
      <c r="I30" s="45" t="s">
        <v>430</v>
      </c>
      <c r="J30" s="86" t="s">
        <v>157</v>
      </c>
    </row>
    <row r="31" spans="2:15">
      <c r="B31" t="s">
        <v>420</v>
      </c>
      <c r="J31" s="86" t="s">
        <v>158</v>
      </c>
    </row>
    <row r="32" spans="2:15">
      <c r="B32" t="s">
        <v>419</v>
      </c>
      <c r="J32" s="86" t="s">
        <v>159</v>
      </c>
    </row>
    <row r="33" spans="10:10">
      <c r="J33" s="86" t="s">
        <v>160</v>
      </c>
    </row>
    <row r="34" spans="10:10">
      <c r="J34" s="86" t="s">
        <v>161</v>
      </c>
    </row>
    <row r="35" spans="10:10">
      <c r="J35" s="86" t="s">
        <v>162</v>
      </c>
    </row>
    <row r="36" spans="10:10">
      <c r="J36" s="86" t="s">
        <v>162</v>
      </c>
    </row>
    <row r="37" spans="10:10">
      <c r="J37" s="86" t="s">
        <v>163</v>
      </c>
    </row>
    <row r="38" spans="10:10">
      <c r="J38" s="86" t="s">
        <v>164</v>
      </c>
    </row>
    <row r="39" spans="10:10">
      <c r="J39" s="86" t="s">
        <v>165</v>
      </c>
    </row>
    <row r="40" spans="10:10">
      <c r="J40" s="86" t="s">
        <v>166</v>
      </c>
    </row>
    <row r="41" spans="10:10">
      <c r="J41" s="86" t="s">
        <v>167</v>
      </c>
    </row>
    <row r="42" spans="10:10">
      <c r="J42" s="86" t="s">
        <v>168</v>
      </c>
    </row>
    <row r="43" spans="10:10">
      <c r="J43" s="86" t="s">
        <v>169</v>
      </c>
    </row>
    <row r="44" spans="10:10">
      <c r="J44" s="86" t="s">
        <v>170</v>
      </c>
    </row>
    <row r="45" spans="10:10">
      <c r="J45" s="86" t="s">
        <v>171</v>
      </c>
    </row>
    <row r="46" spans="10:10">
      <c r="J46" s="86" t="s">
        <v>172</v>
      </c>
    </row>
    <row r="47" spans="10:10">
      <c r="J47" s="86" t="s">
        <v>173</v>
      </c>
    </row>
    <row r="48" spans="10:10">
      <c r="J48" s="86" t="s">
        <v>174</v>
      </c>
    </row>
    <row r="49" spans="10:10">
      <c r="J49" s="86" t="s">
        <v>175</v>
      </c>
    </row>
    <row r="50" spans="10:10">
      <c r="J50" s="86" t="s">
        <v>176</v>
      </c>
    </row>
    <row r="51" spans="10:10">
      <c r="J51" s="86" t="s">
        <v>177</v>
      </c>
    </row>
    <row r="52" spans="10:10">
      <c r="J52" s="86" t="s">
        <v>178</v>
      </c>
    </row>
    <row r="53" spans="10:10">
      <c r="J53" s="86" t="s">
        <v>179</v>
      </c>
    </row>
    <row r="54" spans="10:10">
      <c r="J54" s="86" t="s">
        <v>180</v>
      </c>
    </row>
    <row r="55" spans="10:10">
      <c r="J55" s="86" t="s">
        <v>181</v>
      </c>
    </row>
    <row r="56" spans="10:10">
      <c r="J56" s="86" t="s">
        <v>182</v>
      </c>
    </row>
    <row r="57" spans="10:10">
      <c r="J57" s="86" t="s">
        <v>183</v>
      </c>
    </row>
    <row r="58" spans="10:10">
      <c r="J58" s="86" t="s">
        <v>184</v>
      </c>
    </row>
    <row r="59" spans="10:10">
      <c r="J59" s="86" t="s">
        <v>185</v>
      </c>
    </row>
    <row r="60" spans="10:10">
      <c r="J60" s="86" t="s">
        <v>186</v>
      </c>
    </row>
    <row r="61" spans="10:10">
      <c r="J61" s="86" t="s">
        <v>187</v>
      </c>
    </row>
    <row r="62" spans="10:10">
      <c r="J62" s="86" t="s">
        <v>188</v>
      </c>
    </row>
    <row r="63" spans="10:10">
      <c r="J63" s="86" t="s">
        <v>189</v>
      </c>
    </row>
    <row r="64" spans="10:10">
      <c r="J64" s="86" t="s">
        <v>190</v>
      </c>
    </row>
    <row r="65" spans="10:10">
      <c r="J65" s="86" t="s">
        <v>191</v>
      </c>
    </row>
    <row r="66" spans="10:10">
      <c r="J66" s="86" t="s">
        <v>192</v>
      </c>
    </row>
    <row r="67" spans="10:10">
      <c r="J67" s="86" t="s">
        <v>193</v>
      </c>
    </row>
    <row r="68" spans="10:10">
      <c r="J68" s="86" t="s">
        <v>194</v>
      </c>
    </row>
    <row r="69" spans="10:10">
      <c r="J69" s="86" t="s">
        <v>195</v>
      </c>
    </row>
    <row r="70" spans="10:10">
      <c r="J70" s="86" t="s">
        <v>196</v>
      </c>
    </row>
    <row r="71" spans="10:10">
      <c r="J71" s="86" t="s">
        <v>197</v>
      </c>
    </row>
    <row r="72" spans="10:10">
      <c r="J72" s="86" t="s">
        <v>198</v>
      </c>
    </row>
    <row r="73" spans="10:10">
      <c r="J73" s="86" t="s">
        <v>199</v>
      </c>
    </row>
    <row r="74" spans="10:10">
      <c r="J74" s="86" t="s">
        <v>200</v>
      </c>
    </row>
    <row r="75" spans="10:10">
      <c r="J75" s="86" t="s">
        <v>201</v>
      </c>
    </row>
    <row r="76" spans="10:10">
      <c r="J76" s="86" t="s">
        <v>202</v>
      </c>
    </row>
    <row r="77" spans="10:10">
      <c r="J77" s="86" t="s">
        <v>203</v>
      </c>
    </row>
    <row r="78" spans="10:10">
      <c r="J78" s="86" t="s">
        <v>204</v>
      </c>
    </row>
    <row r="79" spans="10:10">
      <c r="J79" s="86" t="s">
        <v>205</v>
      </c>
    </row>
    <row r="80" spans="10:10">
      <c r="J80" s="86" t="s">
        <v>206</v>
      </c>
    </row>
    <row r="81" spans="10:10">
      <c r="J81" s="86" t="s">
        <v>207</v>
      </c>
    </row>
    <row r="82" spans="10:10">
      <c r="J82" s="86" t="s">
        <v>208</v>
      </c>
    </row>
    <row r="83" spans="10:10">
      <c r="J83" s="86" t="s">
        <v>209</v>
      </c>
    </row>
    <row r="84" spans="10:10">
      <c r="J84" s="86" t="s">
        <v>210</v>
      </c>
    </row>
    <row r="85" spans="10:10">
      <c r="J85" s="86" t="s">
        <v>211</v>
      </c>
    </row>
    <row r="86" spans="10:10">
      <c r="J86" s="86" t="s">
        <v>212</v>
      </c>
    </row>
    <row r="87" spans="10:10">
      <c r="J87" s="86" t="s">
        <v>213</v>
      </c>
    </row>
    <row r="88" spans="10:10">
      <c r="J88" s="86" t="s">
        <v>214</v>
      </c>
    </row>
    <row r="89" spans="10:10">
      <c r="J89" s="86" t="s">
        <v>215</v>
      </c>
    </row>
    <row r="90" spans="10:10">
      <c r="J90" s="86" t="s">
        <v>216</v>
      </c>
    </row>
    <row r="91" spans="10:10">
      <c r="J91" s="86" t="s">
        <v>217</v>
      </c>
    </row>
    <row r="92" spans="10:10">
      <c r="J92" s="86" t="s">
        <v>218</v>
      </c>
    </row>
    <row r="93" spans="10:10">
      <c r="J93" s="86" t="s">
        <v>219</v>
      </c>
    </row>
    <row r="94" spans="10:10">
      <c r="J94" s="86" t="s">
        <v>220</v>
      </c>
    </row>
    <row r="95" spans="10:10">
      <c r="J95" s="86" t="s">
        <v>221</v>
      </c>
    </row>
    <row r="96" spans="10:10">
      <c r="J96" s="86" t="s">
        <v>222</v>
      </c>
    </row>
    <row r="97" spans="10:10">
      <c r="J97" s="86" t="s">
        <v>223</v>
      </c>
    </row>
    <row r="98" spans="10:10">
      <c r="J98" s="86" t="s">
        <v>224</v>
      </c>
    </row>
    <row r="99" spans="10:10">
      <c r="J99" s="86" t="s">
        <v>225</v>
      </c>
    </row>
    <row r="100" spans="10:10">
      <c r="J100" s="86" t="s">
        <v>226</v>
      </c>
    </row>
    <row r="101" spans="10:10">
      <c r="J101" s="86" t="s">
        <v>227</v>
      </c>
    </row>
    <row r="102" spans="10:10">
      <c r="J102" s="86" t="s">
        <v>228</v>
      </c>
    </row>
    <row r="103" spans="10:10">
      <c r="J103" s="86" t="s">
        <v>229</v>
      </c>
    </row>
    <row r="104" spans="10:10">
      <c r="J104" s="86" t="s">
        <v>230</v>
      </c>
    </row>
    <row r="105" spans="10:10">
      <c r="J105" s="86" t="s">
        <v>231</v>
      </c>
    </row>
    <row r="106" spans="10:10">
      <c r="J106" s="86" t="s">
        <v>232</v>
      </c>
    </row>
    <row r="107" spans="10:10">
      <c r="J107" s="86" t="s">
        <v>233</v>
      </c>
    </row>
    <row r="108" spans="10:10">
      <c r="J108" s="86" t="s">
        <v>234</v>
      </c>
    </row>
    <row r="109" spans="10:10">
      <c r="J109" s="86" t="s">
        <v>235</v>
      </c>
    </row>
    <row r="110" spans="10:10">
      <c r="J110" s="86" t="s">
        <v>236</v>
      </c>
    </row>
    <row r="111" spans="10:10">
      <c r="J111" s="86" t="s">
        <v>87</v>
      </c>
    </row>
    <row r="112" spans="10:10">
      <c r="J112" s="86" t="s">
        <v>237</v>
      </c>
    </row>
    <row r="113" spans="10:10">
      <c r="J113" s="86" t="s">
        <v>238</v>
      </c>
    </row>
    <row r="114" spans="10:10">
      <c r="J114" s="86" t="s">
        <v>239</v>
      </c>
    </row>
    <row r="115" spans="10:10">
      <c r="J115" s="86" t="s">
        <v>240</v>
      </c>
    </row>
    <row r="116" spans="10:10">
      <c r="J116" s="86" t="s">
        <v>241</v>
      </c>
    </row>
    <row r="117" spans="10:10">
      <c r="J117" s="86" t="s">
        <v>242</v>
      </c>
    </row>
    <row r="118" spans="10:10">
      <c r="J118" s="86" t="s">
        <v>243</v>
      </c>
    </row>
    <row r="119" spans="10:10">
      <c r="J119" s="86" t="s">
        <v>244</v>
      </c>
    </row>
    <row r="120" spans="10:10">
      <c r="J120" s="86" t="s">
        <v>245</v>
      </c>
    </row>
    <row r="121" spans="10:10">
      <c r="J121" s="86" t="s">
        <v>246</v>
      </c>
    </row>
    <row r="122" spans="10:10">
      <c r="J122" s="86" t="s">
        <v>247</v>
      </c>
    </row>
    <row r="123" spans="10:10">
      <c r="J123" s="86" t="s">
        <v>248</v>
      </c>
    </row>
    <row r="124" spans="10:10">
      <c r="J124" s="86" t="s">
        <v>249</v>
      </c>
    </row>
    <row r="125" spans="10:10">
      <c r="J125" s="86" t="s">
        <v>250</v>
      </c>
    </row>
    <row r="126" spans="10:10">
      <c r="J126" s="86" t="s">
        <v>251</v>
      </c>
    </row>
    <row r="127" spans="10:10">
      <c r="J127" s="86" t="s">
        <v>252</v>
      </c>
    </row>
    <row r="128" spans="10:10">
      <c r="J128" s="86" t="s">
        <v>253</v>
      </c>
    </row>
    <row r="129" spans="10:10">
      <c r="J129" s="86" t="s">
        <v>254</v>
      </c>
    </row>
    <row r="130" spans="10:10">
      <c r="J130" s="86" t="s">
        <v>255</v>
      </c>
    </row>
    <row r="131" spans="10:10">
      <c r="J131" s="86" t="s">
        <v>256</v>
      </c>
    </row>
    <row r="132" spans="10:10">
      <c r="J132" s="86" t="s">
        <v>257</v>
      </c>
    </row>
    <row r="133" spans="10:10">
      <c r="J133" s="86" t="s">
        <v>258</v>
      </c>
    </row>
    <row r="134" spans="10:10">
      <c r="J134" s="86" t="s">
        <v>259</v>
      </c>
    </row>
    <row r="135" spans="10:10">
      <c r="J135" s="86" t="s">
        <v>260</v>
      </c>
    </row>
    <row r="136" spans="10:10">
      <c r="J136" s="86" t="s">
        <v>261</v>
      </c>
    </row>
    <row r="137" spans="10:10">
      <c r="J137" s="86" t="s">
        <v>262</v>
      </c>
    </row>
    <row r="138" spans="10:10">
      <c r="J138" s="86" t="s">
        <v>263</v>
      </c>
    </row>
    <row r="139" spans="10:10">
      <c r="J139" s="86" t="s">
        <v>264</v>
      </c>
    </row>
    <row r="140" spans="10:10">
      <c r="J140" s="86" t="s">
        <v>265</v>
      </c>
    </row>
    <row r="141" spans="10:10">
      <c r="J141" s="86" t="s">
        <v>266</v>
      </c>
    </row>
    <row r="142" spans="10:10">
      <c r="J142" s="86" t="s">
        <v>267</v>
      </c>
    </row>
    <row r="143" spans="10:10">
      <c r="J143" s="86" t="s">
        <v>268</v>
      </c>
    </row>
    <row r="144" spans="10:10">
      <c r="J144" s="395"/>
    </row>
  </sheetData>
  <mergeCells count="2">
    <mergeCell ref="B3:H3"/>
    <mergeCell ref="B6:H6"/>
  </mergeCells>
  <phoneticPr fontId="32"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1"/>
  <sheetViews>
    <sheetView showGridLines="0" workbookViewId="0">
      <pane ySplit="2" topLeftCell="A30" activePane="bottomLeft" state="frozen"/>
      <selection activeCell="E22" sqref="E22"/>
      <selection pane="bottomLeft" activeCell="S35" sqref="S35"/>
    </sheetView>
  </sheetViews>
  <sheetFormatPr defaultColWidth="11" defaultRowHeight="15"/>
  <cols>
    <col min="1" max="1" width="1.28515625" customWidth="1"/>
    <col min="2" max="2" width="7.140625" customWidth="1"/>
    <col min="3" max="3" width="8.85546875" customWidth="1"/>
    <col min="4" max="4" width="7" customWidth="1"/>
    <col min="5" max="5" width="16.42578125" customWidth="1"/>
    <col min="6" max="6" width="10.85546875" customWidth="1"/>
    <col min="7" max="7" width="15.42578125" customWidth="1"/>
    <col min="8" max="8" width="11.85546875" customWidth="1"/>
    <col min="9" max="9" width="4.7109375" customWidth="1"/>
    <col min="10" max="10" width="14.140625" customWidth="1"/>
    <col min="11" max="11" width="7.7109375" customWidth="1"/>
    <col min="12" max="12" width="3.28515625" customWidth="1"/>
    <col min="13" max="13" width="16.85546875" customWidth="1"/>
    <col min="14" max="14" width="2.5703125" style="36" customWidth="1"/>
    <col min="15" max="15" width="3" style="36" customWidth="1"/>
    <col min="16" max="16" width="2.5703125" customWidth="1"/>
    <col min="17" max="17" width="8.710937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27" customHeight="1">
      <c r="A1" s="3"/>
      <c r="B1" s="3"/>
      <c r="C1" s="3"/>
      <c r="D1" s="3"/>
      <c r="E1" s="3"/>
      <c r="F1" s="3"/>
      <c r="G1" s="3"/>
      <c r="H1" s="3"/>
      <c r="I1" s="3"/>
      <c r="J1" s="3"/>
      <c r="K1" s="3"/>
      <c r="L1" s="3"/>
      <c r="M1" s="3"/>
    </row>
    <row r="2" spans="1:15" ht="23.25" customHeight="1">
      <c r="A2" s="3"/>
      <c r="B2" s="594" t="str">
        <f>'Grant Detail'!B3:J3</f>
        <v>Dashboard:  Ghana - HIV / AIDS  (PPAG)</v>
      </c>
      <c r="C2" s="594"/>
      <c r="D2" s="594"/>
      <c r="E2" s="594"/>
      <c r="F2" s="594"/>
      <c r="G2" s="594"/>
      <c r="H2" s="594"/>
      <c r="I2" s="594"/>
      <c r="J2" s="594"/>
      <c r="K2" s="594"/>
      <c r="L2" s="594"/>
      <c r="M2" s="594"/>
    </row>
    <row r="3" spans="1:15" ht="15.75" customHeight="1">
      <c r="A3" s="3"/>
      <c r="B3" s="221"/>
      <c r="C3" s="221"/>
      <c r="D3" s="221"/>
      <c r="E3" s="221"/>
      <c r="F3" s="221"/>
      <c r="G3" s="221"/>
      <c r="H3" s="221"/>
      <c r="I3" s="221"/>
      <c r="J3" s="221"/>
      <c r="K3" s="222"/>
      <c r="L3" s="222"/>
      <c r="M3" s="3"/>
    </row>
    <row r="4" spans="1:15" ht="21">
      <c r="G4" s="455" t="s">
        <v>95</v>
      </c>
    </row>
    <row r="5" spans="1:15">
      <c r="B5" s="533" t="s">
        <v>289</v>
      </c>
      <c r="C5" s="533"/>
      <c r="D5" s="533"/>
      <c r="E5" s="533"/>
      <c r="F5" s="533"/>
      <c r="G5" s="533"/>
      <c r="H5" s="533"/>
      <c r="I5" s="533"/>
      <c r="J5" s="533"/>
      <c r="K5" s="533"/>
      <c r="L5" s="533"/>
      <c r="M5" s="533"/>
      <c r="N5" s="533"/>
      <c r="O5" s="533"/>
    </row>
    <row r="7" spans="1:15">
      <c r="B7" s="595" t="s">
        <v>279</v>
      </c>
      <c r="C7" s="596"/>
      <c r="D7" s="597"/>
      <c r="E7" s="595" t="s">
        <v>280</v>
      </c>
      <c r="F7" s="596"/>
      <c r="G7" s="596"/>
      <c r="H7" s="596"/>
      <c r="I7" s="597"/>
      <c r="J7" s="595" t="s">
        <v>281</v>
      </c>
      <c r="K7" s="596"/>
      <c r="L7" s="597"/>
      <c r="M7" s="595" t="s">
        <v>341</v>
      </c>
      <c r="N7" s="596"/>
      <c r="O7" s="597"/>
    </row>
    <row r="8" spans="1:15" ht="92.25" customHeight="1">
      <c r="B8" s="539" t="str">
        <f>+'Data Entry'!B27</f>
        <v>F1: Budget and disbursements by Global Fund</v>
      </c>
      <c r="C8" s="601"/>
      <c r="D8" s="602"/>
      <c r="E8" s="598" t="s">
        <v>391</v>
      </c>
      <c r="F8" s="599"/>
      <c r="G8" s="599"/>
      <c r="H8" s="599"/>
      <c r="I8" s="600"/>
      <c r="J8" s="516" t="s">
        <v>342</v>
      </c>
      <c r="K8" s="517"/>
      <c r="L8" s="518"/>
      <c r="M8" s="516" t="s">
        <v>379</v>
      </c>
      <c r="N8" s="517"/>
      <c r="O8" s="518"/>
    </row>
    <row r="9" spans="1:15" ht="117.75" customHeight="1">
      <c r="B9" s="539" t="str">
        <f>+'Data Entry'!B36</f>
        <v>F2: Budget and actual expenditures by Grant Objective</v>
      </c>
      <c r="C9" s="601"/>
      <c r="D9" s="602"/>
      <c r="E9" s="582" t="s">
        <v>3</v>
      </c>
      <c r="F9" s="540"/>
      <c r="G9" s="540"/>
      <c r="H9" s="540"/>
      <c r="I9" s="541"/>
      <c r="J9" s="516" t="s">
        <v>344</v>
      </c>
      <c r="K9" s="517"/>
      <c r="L9" s="518"/>
      <c r="M9" s="516" t="s">
        <v>379</v>
      </c>
      <c r="N9" s="517"/>
      <c r="O9" s="518"/>
    </row>
    <row r="10" spans="1:15" ht="253.5" customHeight="1">
      <c r="B10" s="542" t="str">
        <f>+'Data Entry'!B49</f>
        <v>F3: Disbursements and expenditures</v>
      </c>
      <c r="C10" s="583"/>
      <c r="D10" s="584"/>
      <c r="E10" s="588" t="s">
        <v>2</v>
      </c>
      <c r="F10" s="543"/>
      <c r="G10" s="543"/>
      <c r="H10" s="543"/>
      <c r="I10" s="544"/>
      <c r="J10" s="554" t="s">
        <v>392</v>
      </c>
      <c r="K10" s="555"/>
      <c r="L10" s="556"/>
      <c r="M10" s="554" t="s">
        <v>343</v>
      </c>
      <c r="N10" s="555"/>
      <c r="O10" s="556"/>
    </row>
    <row r="11" spans="1:15" ht="68.25" customHeight="1">
      <c r="B11" s="452"/>
      <c r="C11" s="453"/>
      <c r="D11" s="454"/>
      <c r="E11" s="585" t="s">
        <v>1</v>
      </c>
      <c r="F11" s="586"/>
      <c r="G11" s="586"/>
      <c r="H11" s="586"/>
      <c r="I11" s="587"/>
      <c r="J11" s="431"/>
      <c r="K11" s="432"/>
      <c r="L11" s="433"/>
      <c r="M11" s="431"/>
      <c r="N11" s="432"/>
      <c r="O11" s="433"/>
    </row>
    <row r="12" spans="1:15" ht="236.25" customHeight="1">
      <c r="B12" s="542" t="str">
        <f>+'Data Entry'!B58</f>
        <v>F4: Latest PR reporting and disbursement cycle</v>
      </c>
      <c r="C12" s="543"/>
      <c r="D12" s="544"/>
      <c r="E12" s="588" t="s">
        <v>4</v>
      </c>
      <c r="F12" s="543"/>
      <c r="G12" s="543"/>
      <c r="H12" s="543"/>
      <c r="I12" s="544"/>
      <c r="J12" s="554" t="s">
        <v>393</v>
      </c>
      <c r="K12" s="555"/>
      <c r="L12" s="556"/>
      <c r="M12" s="554" t="s">
        <v>284</v>
      </c>
      <c r="N12" s="555"/>
      <c r="O12" s="556"/>
    </row>
    <row r="13" spans="1:15" s="19" customFormat="1" ht="114" customHeight="1">
      <c r="B13" s="590"/>
      <c r="C13" s="590"/>
      <c r="D13" s="590"/>
      <c r="E13" s="592" t="s">
        <v>0</v>
      </c>
      <c r="F13" s="593"/>
      <c r="G13" s="593"/>
      <c r="H13" s="593"/>
      <c r="I13" s="593"/>
      <c r="J13" s="591"/>
      <c r="K13" s="591"/>
      <c r="L13" s="591"/>
      <c r="M13" s="591"/>
      <c r="N13" s="591"/>
      <c r="O13" s="591"/>
    </row>
    <row r="14" spans="1:15" s="19" customFormat="1">
      <c r="B14" s="566"/>
      <c r="C14" s="566"/>
      <c r="D14" s="566"/>
      <c r="E14" s="589"/>
      <c r="F14" s="589"/>
      <c r="G14" s="589"/>
      <c r="H14" s="589"/>
      <c r="I14" s="589"/>
      <c r="J14" s="589"/>
      <c r="K14" s="589"/>
      <c r="L14" s="589"/>
      <c r="M14" s="589"/>
      <c r="N14" s="589"/>
      <c r="O14" s="589"/>
    </row>
    <row r="15" spans="1:15" s="19" customFormat="1">
      <c r="B15" s="566"/>
      <c r="C15" s="566"/>
      <c r="D15" s="566"/>
      <c r="E15" s="570"/>
      <c r="F15" s="570"/>
      <c r="G15" s="570"/>
      <c r="H15" s="570"/>
      <c r="I15" s="570"/>
      <c r="J15" s="589"/>
      <c r="K15" s="589"/>
      <c r="L15" s="589"/>
      <c r="M15" s="589"/>
      <c r="N15" s="589"/>
      <c r="O15" s="589"/>
    </row>
    <row r="16" spans="1:15" s="19" customFormat="1">
      <c r="B16" s="566"/>
      <c r="C16" s="566"/>
      <c r="D16" s="566"/>
      <c r="E16" s="570"/>
      <c r="F16" s="570"/>
      <c r="G16" s="570"/>
      <c r="H16" s="570"/>
      <c r="I16" s="570"/>
      <c r="J16" s="589"/>
      <c r="K16" s="589"/>
      <c r="L16" s="589"/>
      <c r="M16" s="589"/>
      <c r="N16" s="589"/>
      <c r="O16" s="589"/>
    </row>
    <row r="17" spans="2:15">
      <c r="B17" s="533" t="s">
        <v>290</v>
      </c>
      <c r="C17" s="533"/>
      <c r="D17" s="533"/>
      <c r="E17" s="533"/>
      <c r="F17" s="533"/>
      <c r="G17" s="533"/>
      <c r="H17" s="533"/>
      <c r="I17" s="533"/>
      <c r="J17" s="533"/>
      <c r="K17" s="533"/>
      <c r="L17" s="533"/>
      <c r="M17" s="533"/>
      <c r="N17" s="533"/>
      <c r="O17" s="533"/>
    </row>
    <row r="18" spans="2:15">
      <c r="B18" s="429"/>
      <c r="C18" s="429"/>
      <c r="D18" s="429"/>
      <c r="E18" s="429"/>
      <c r="F18" s="429"/>
      <c r="G18" s="429"/>
      <c r="H18" s="429"/>
      <c r="I18" s="429"/>
      <c r="J18" s="429"/>
      <c r="K18" s="429"/>
      <c r="L18" s="429"/>
      <c r="M18" s="429"/>
      <c r="N18" s="430"/>
      <c r="O18" s="430"/>
    </row>
    <row r="19" spans="2:15">
      <c r="B19" s="567" t="s">
        <v>5</v>
      </c>
      <c r="C19" s="568"/>
      <c r="D19" s="569"/>
      <c r="E19" s="567" t="s">
        <v>280</v>
      </c>
      <c r="F19" s="568"/>
      <c r="G19" s="568"/>
      <c r="H19" s="568"/>
      <c r="I19" s="569"/>
      <c r="J19" s="567" t="s">
        <v>281</v>
      </c>
      <c r="K19" s="568"/>
      <c r="L19" s="569"/>
      <c r="M19" s="567" t="s">
        <v>282</v>
      </c>
      <c r="N19" s="568"/>
      <c r="O19" s="569"/>
    </row>
    <row r="20" spans="2:15" ht="114" customHeight="1">
      <c r="B20" s="539" t="str">
        <f>+'Data Entry'!B69</f>
        <v>M1: Status of Conditions Precedent (CPs) and Time Bound Actions (TBAs)</v>
      </c>
      <c r="C20" s="540"/>
      <c r="D20" s="541"/>
      <c r="E20" s="582" t="s">
        <v>461</v>
      </c>
      <c r="F20" s="540"/>
      <c r="G20" s="540"/>
      <c r="H20" s="540"/>
      <c r="I20" s="541"/>
      <c r="J20" s="516" t="s">
        <v>345</v>
      </c>
      <c r="K20" s="517"/>
      <c r="L20" s="518"/>
      <c r="M20" s="516" t="s">
        <v>346</v>
      </c>
      <c r="N20" s="517"/>
      <c r="O20" s="518"/>
    </row>
    <row r="21" spans="2:15" ht="102.75" customHeight="1">
      <c r="B21" s="539" t="str">
        <f>+'Data Entry'!B76</f>
        <v>M2: Status of key PR management positions</v>
      </c>
      <c r="C21" s="540"/>
      <c r="D21" s="541"/>
      <c r="E21" s="582" t="s">
        <v>394</v>
      </c>
      <c r="F21" s="540"/>
      <c r="G21" s="540"/>
      <c r="H21" s="540"/>
      <c r="I21" s="541"/>
      <c r="J21" s="516" t="s">
        <v>286</v>
      </c>
      <c r="K21" s="517"/>
      <c r="L21" s="518"/>
      <c r="M21" s="516" t="s">
        <v>285</v>
      </c>
      <c r="N21" s="517"/>
      <c r="O21" s="518"/>
    </row>
    <row r="22" spans="2:15" ht="192.75" customHeight="1">
      <c r="B22" s="539" t="str">
        <f>+'Data Entry'!B81</f>
        <v xml:space="preserve">M3: Contractual arrangements (SRs) </v>
      </c>
      <c r="C22" s="540"/>
      <c r="D22" s="541"/>
      <c r="E22" s="516" t="s">
        <v>395</v>
      </c>
      <c r="F22" s="540"/>
      <c r="G22" s="540"/>
      <c r="H22" s="540"/>
      <c r="I22" s="541"/>
      <c r="J22" s="516" t="s">
        <v>347</v>
      </c>
      <c r="K22" s="517"/>
      <c r="L22" s="518"/>
      <c r="M22" s="516" t="s">
        <v>348</v>
      </c>
      <c r="N22" s="517"/>
      <c r="O22" s="518"/>
    </row>
    <row r="23" spans="2:15" ht="78" customHeight="1">
      <c r="B23" s="539" t="str">
        <f>+'Data Entry'!B86</f>
        <v>M4: Number of complete reports received on time, this reporting period</v>
      </c>
      <c r="C23" s="540"/>
      <c r="D23" s="541"/>
      <c r="E23" s="516" t="s">
        <v>388</v>
      </c>
      <c r="F23" s="517"/>
      <c r="G23" s="517"/>
      <c r="H23" s="517"/>
      <c r="I23" s="518"/>
      <c r="J23" s="516" t="s">
        <v>396</v>
      </c>
      <c r="K23" s="517"/>
      <c r="L23" s="518"/>
      <c r="M23" s="516" t="s">
        <v>287</v>
      </c>
      <c r="N23" s="517"/>
      <c r="O23" s="518"/>
    </row>
    <row r="24" spans="2:15" ht="214.5" customHeight="1">
      <c r="B24" s="542" t="str">
        <f>+'Data Entry'!B92</f>
        <v>M5: Budget and Procurement of health products, health equipment, medicines and pharmaceuticals</v>
      </c>
      <c r="C24" s="543"/>
      <c r="D24" s="544"/>
      <c r="E24" s="548" t="s">
        <v>397</v>
      </c>
      <c r="F24" s="549"/>
      <c r="G24" s="549"/>
      <c r="H24" s="549"/>
      <c r="I24" s="550"/>
      <c r="J24" s="554" t="s">
        <v>283</v>
      </c>
      <c r="K24" s="555"/>
      <c r="L24" s="556"/>
      <c r="M24" s="554" t="s">
        <v>288</v>
      </c>
      <c r="N24" s="555"/>
      <c r="O24" s="556"/>
    </row>
    <row r="25" spans="2:15" ht="91.5" customHeight="1">
      <c r="B25" s="545"/>
      <c r="C25" s="546"/>
      <c r="D25" s="547"/>
      <c r="E25" s="545" t="s">
        <v>398</v>
      </c>
      <c r="F25" s="546"/>
      <c r="G25" s="546"/>
      <c r="H25" s="546"/>
      <c r="I25" s="547"/>
      <c r="J25" s="557"/>
      <c r="K25" s="558"/>
      <c r="L25" s="559"/>
      <c r="M25" s="557"/>
      <c r="N25" s="558"/>
      <c r="O25" s="559"/>
    </row>
    <row r="26" spans="2:15" ht="409.6" customHeight="1">
      <c r="B26" s="539" t="str">
        <f>+'Data Entry'!B105</f>
        <v>M6: Difference between current and safety stock</v>
      </c>
      <c r="C26" s="540"/>
      <c r="D26" s="541"/>
      <c r="E26" s="571" t="s">
        <v>399</v>
      </c>
      <c r="F26" s="572"/>
      <c r="G26" s="572"/>
      <c r="H26" s="572"/>
      <c r="I26" s="573"/>
      <c r="J26" s="574" t="s">
        <v>349</v>
      </c>
      <c r="K26" s="577"/>
      <c r="L26" s="578"/>
      <c r="M26" s="574" t="s">
        <v>354</v>
      </c>
      <c r="N26" s="575"/>
      <c r="O26" s="576"/>
    </row>
    <row r="27" spans="2:15">
      <c r="B27" s="434"/>
      <c r="C27" s="434"/>
      <c r="D27" s="434"/>
      <c r="E27" s="434"/>
      <c r="F27" s="434"/>
      <c r="G27" s="434"/>
      <c r="H27" s="434"/>
      <c r="I27" s="434"/>
      <c r="J27" s="434"/>
      <c r="K27" s="434"/>
      <c r="L27" s="434"/>
      <c r="M27" s="434"/>
      <c r="N27" s="435"/>
      <c r="O27" s="435"/>
    </row>
    <row r="28" spans="2:15">
      <c r="B28" s="434"/>
      <c r="C28" s="434"/>
      <c r="D28" s="434"/>
      <c r="E28" s="434"/>
      <c r="F28" s="434"/>
      <c r="G28" s="434"/>
      <c r="H28" s="434"/>
      <c r="I28" s="434"/>
      <c r="J28" s="434"/>
      <c r="K28" s="434"/>
      <c r="L28" s="434"/>
      <c r="M28" s="434"/>
      <c r="N28" s="435"/>
      <c r="O28" s="435"/>
    </row>
    <row r="29" spans="2:15">
      <c r="B29" s="434"/>
      <c r="C29" s="434"/>
      <c r="D29" s="434"/>
      <c r="E29" s="434"/>
      <c r="F29" s="434"/>
      <c r="G29" s="434"/>
      <c r="H29" s="434"/>
      <c r="I29" s="434"/>
      <c r="J29" s="434"/>
      <c r="K29" s="434"/>
      <c r="L29" s="434"/>
      <c r="M29" s="434"/>
      <c r="N29" s="435"/>
      <c r="O29" s="435"/>
    </row>
    <row r="30" spans="2:15">
      <c r="B30" s="436"/>
      <c r="C30" s="434"/>
      <c r="D30" s="434"/>
      <c r="E30" s="434"/>
      <c r="F30" s="434"/>
      <c r="G30" s="434"/>
      <c r="H30" s="434"/>
      <c r="I30" s="434"/>
      <c r="J30" s="434"/>
      <c r="K30" s="434"/>
      <c r="L30" s="434"/>
      <c r="M30" s="434"/>
      <c r="N30" s="435"/>
      <c r="O30" s="435"/>
    </row>
    <row r="31" spans="2:15">
      <c r="B31" s="533" t="s">
        <v>302</v>
      </c>
      <c r="C31" s="533"/>
      <c r="D31" s="533"/>
      <c r="E31" s="533"/>
      <c r="F31" s="533"/>
      <c r="G31" s="533"/>
      <c r="H31" s="533"/>
      <c r="I31" s="533"/>
      <c r="J31" s="533"/>
      <c r="K31" s="533"/>
      <c r="L31" s="533"/>
      <c r="M31" s="533"/>
      <c r="N31" s="533"/>
      <c r="O31" s="533"/>
    </row>
    <row r="32" spans="2:15">
      <c r="B32" s="434"/>
      <c r="C32" s="434"/>
      <c r="D32" s="434"/>
      <c r="E32" s="434"/>
      <c r="F32" s="434"/>
      <c r="G32" s="434"/>
      <c r="H32" s="434"/>
      <c r="I32" s="434"/>
      <c r="J32" s="434"/>
      <c r="K32" s="434"/>
      <c r="L32" s="434"/>
      <c r="M32" s="434"/>
      <c r="N32" s="435"/>
      <c r="O32" s="435"/>
    </row>
    <row r="33" spans="1:15" ht="28.5" customHeight="1">
      <c r="A33" s="242"/>
      <c r="B33" s="534" t="s">
        <v>339</v>
      </c>
      <c r="C33" s="535"/>
      <c r="D33" s="536"/>
      <c r="E33" s="537" t="s">
        <v>446</v>
      </c>
      <c r="F33" s="535"/>
      <c r="G33" s="535"/>
      <c r="H33" s="535"/>
      <c r="I33" s="536"/>
      <c r="J33" s="538" t="s">
        <v>281</v>
      </c>
      <c r="K33" s="535"/>
      <c r="L33" s="536"/>
      <c r="M33" s="538" t="s">
        <v>282</v>
      </c>
      <c r="N33" s="535"/>
      <c r="O33" s="536"/>
    </row>
    <row r="34" spans="1:15" ht="64.5" customHeight="1">
      <c r="A34" s="243"/>
      <c r="B34" s="563" t="s">
        <v>444</v>
      </c>
      <c r="C34" s="564"/>
      <c r="D34" s="565"/>
      <c r="E34" s="525" t="s">
        <v>457</v>
      </c>
      <c r="F34" s="526"/>
      <c r="G34" s="526"/>
      <c r="H34" s="526"/>
      <c r="I34" s="527"/>
      <c r="J34" s="519" t="s">
        <v>440</v>
      </c>
      <c r="K34" s="520"/>
      <c r="L34" s="521"/>
      <c r="M34" s="519" t="s">
        <v>441</v>
      </c>
      <c r="N34" s="520"/>
      <c r="O34" s="521"/>
    </row>
    <row r="35" spans="1:15" ht="99" customHeight="1">
      <c r="A35" s="243"/>
      <c r="B35" s="563" t="s">
        <v>445</v>
      </c>
      <c r="C35" s="564"/>
      <c r="D35" s="565"/>
      <c r="E35" s="525" t="s">
        <v>458</v>
      </c>
      <c r="F35" s="526"/>
      <c r="G35" s="526"/>
      <c r="H35" s="526"/>
      <c r="I35" s="527"/>
      <c r="J35" s="519" t="s">
        <v>440</v>
      </c>
      <c r="K35" s="520"/>
      <c r="L35" s="521"/>
      <c r="M35" s="519" t="s">
        <v>441</v>
      </c>
      <c r="N35" s="520"/>
      <c r="O35" s="521"/>
    </row>
    <row r="36" spans="1:15" ht="76.5" customHeight="1">
      <c r="A36" s="243"/>
      <c r="B36" s="563"/>
      <c r="C36" s="564"/>
      <c r="D36" s="565"/>
      <c r="E36" s="519"/>
      <c r="F36" s="520"/>
      <c r="G36" s="520"/>
      <c r="H36" s="520"/>
      <c r="I36" s="521"/>
      <c r="J36" s="519"/>
      <c r="K36" s="520"/>
      <c r="L36" s="521"/>
      <c r="M36" s="519"/>
      <c r="N36" s="520"/>
      <c r="O36" s="521"/>
    </row>
    <row r="37" spans="1:15" ht="9.75" customHeight="1">
      <c r="A37" s="243"/>
      <c r="B37" s="579"/>
      <c r="C37" s="580"/>
      <c r="D37" s="581"/>
      <c r="E37" s="440"/>
      <c r="F37" s="441"/>
      <c r="G37" s="441"/>
      <c r="H37" s="441"/>
      <c r="I37" s="442"/>
      <c r="J37" s="443"/>
      <c r="K37" s="444"/>
      <c r="L37" s="445"/>
      <c r="M37" s="443"/>
      <c r="N37" s="444"/>
      <c r="O37" s="445"/>
    </row>
    <row r="38" spans="1:15" ht="46.5" customHeight="1">
      <c r="A38" s="243"/>
      <c r="B38" s="563"/>
      <c r="C38" s="564"/>
      <c r="D38" s="565"/>
      <c r="E38" s="519"/>
      <c r="F38" s="528"/>
      <c r="G38" s="528"/>
      <c r="H38" s="528"/>
      <c r="I38" s="529"/>
      <c r="J38" s="519"/>
      <c r="K38" s="520"/>
      <c r="L38" s="521"/>
      <c r="M38" s="437"/>
      <c r="N38" s="438"/>
      <c r="O38" s="439"/>
    </row>
    <row r="39" spans="1:15" ht="69" customHeight="1">
      <c r="A39" s="243"/>
      <c r="B39" s="563" t="s">
        <v>424</v>
      </c>
      <c r="C39" s="564"/>
      <c r="D39" s="565"/>
      <c r="E39" s="525"/>
      <c r="F39" s="526"/>
      <c r="G39" s="526"/>
      <c r="H39" s="526"/>
      <c r="I39" s="527"/>
      <c r="J39" s="519"/>
      <c r="K39" s="520"/>
      <c r="L39" s="521"/>
      <c r="M39" s="519"/>
      <c r="N39" s="520"/>
      <c r="O39" s="521"/>
    </row>
    <row r="40" spans="1:15" ht="64.5" customHeight="1">
      <c r="A40" s="243"/>
      <c r="B40" s="563" t="s">
        <v>425</v>
      </c>
      <c r="C40" s="564"/>
      <c r="D40" s="565"/>
      <c r="E40" s="519"/>
      <c r="F40" s="520"/>
      <c r="G40" s="520"/>
      <c r="H40" s="520"/>
      <c r="I40" s="521"/>
      <c r="J40" s="437"/>
      <c r="K40" s="438"/>
      <c r="L40" s="439"/>
      <c r="M40" s="437"/>
      <c r="N40" s="438"/>
      <c r="O40" s="439"/>
    </row>
    <row r="41" spans="1:15" ht="45" customHeight="1">
      <c r="A41" s="243"/>
      <c r="B41" s="551" t="s">
        <v>426</v>
      </c>
      <c r="C41" s="552"/>
      <c r="D41" s="553"/>
      <c r="E41" s="522"/>
      <c r="F41" s="523"/>
      <c r="G41" s="523"/>
      <c r="H41" s="523"/>
      <c r="I41" s="524"/>
      <c r="J41" s="519"/>
      <c r="K41" s="520"/>
      <c r="L41" s="521"/>
      <c r="M41" s="519"/>
      <c r="N41" s="520"/>
      <c r="O41" s="521"/>
    </row>
    <row r="42" spans="1:15" ht="62.25" customHeight="1">
      <c r="A42" s="243"/>
      <c r="B42" s="551" t="s">
        <v>427</v>
      </c>
      <c r="C42" s="552"/>
      <c r="D42" s="553"/>
      <c r="E42" s="525"/>
      <c r="F42" s="526"/>
      <c r="G42" s="526"/>
      <c r="H42" s="526"/>
      <c r="I42" s="527"/>
      <c r="J42" s="519"/>
      <c r="K42" s="520"/>
      <c r="L42" s="521"/>
      <c r="M42" s="519"/>
      <c r="N42" s="520"/>
      <c r="O42" s="521"/>
    </row>
    <row r="43" spans="1:15" ht="84" customHeight="1">
      <c r="A43" s="243"/>
      <c r="B43" s="551"/>
      <c r="C43" s="552"/>
      <c r="D43" s="553"/>
      <c r="E43" s="519"/>
      <c r="F43" s="520"/>
      <c r="G43" s="520"/>
      <c r="H43" s="520"/>
      <c r="I43" s="521"/>
      <c r="J43" s="437"/>
      <c r="K43" s="438"/>
      <c r="L43" s="439"/>
      <c r="M43" s="437"/>
      <c r="N43" s="438"/>
      <c r="O43" s="439"/>
    </row>
    <row r="44" spans="1:15" ht="45" customHeight="1">
      <c r="A44" s="243"/>
      <c r="B44" s="551"/>
      <c r="C44" s="552"/>
      <c r="D44" s="553"/>
      <c r="E44" s="525"/>
      <c r="F44" s="526"/>
      <c r="G44" s="526"/>
      <c r="H44" s="526"/>
      <c r="I44" s="527"/>
      <c r="J44" s="519"/>
      <c r="K44" s="520"/>
      <c r="L44" s="521"/>
      <c r="M44" s="437"/>
      <c r="N44" s="438"/>
      <c r="O44" s="439"/>
    </row>
    <row r="45" spans="1:15" ht="19.5" customHeight="1">
      <c r="B45" s="513" t="s">
        <v>303</v>
      </c>
      <c r="C45" s="514"/>
      <c r="D45" s="515"/>
      <c r="E45" s="513" t="s">
        <v>280</v>
      </c>
      <c r="F45" s="514"/>
      <c r="G45" s="514"/>
      <c r="H45" s="514"/>
      <c r="I45" s="515"/>
      <c r="J45" s="513" t="s">
        <v>281</v>
      </c>
      <c r="K45" s="514"/>
      <c r="L45" s="515"/>
      <c r="M45" s="513" t="s">
        <v>282</v>
      </c>
      <c r="N45" s="514"/>
      <c r="O45" s="515"/>
    </row>
    <row r="46" spans="1:15" ht="33.75" customHeight="1">
      <c r="B46" s="446"/>
      <c r="C46" s="447"/>
      <c r="D46" s="447"/>
      <c r="E46" s="448"/>
      <c r="F46" s="449"/>
      <c r="G46" s="449"/>
      <c r="H46" s="449"/>
      <c r="I46" s="449"/>
      <c r="J46" s="448"/>
      <c r="K46" s="448"/>
      <c r="L46" s="450"/>
      <c r="M46" s="451"/>
      <c r="N46" s="448"/>
      <c r="O46" s="450"/>
    </row>
    <row r="47" spans="1:15" ht="29.25" customHeight="1">
      <c r="B47" s="560" t="s">
        <v>423</v>
      </c>
      <c r="C47" s="561"/>
      <c r="D47" s="561"/>
      <c r="E47" s="561"/>
      <c r="F47" s="561"/>
      <c r="G47" s="561"/>
      <c r="H47" s="561"/>
      <c r="I47" s="561"/>
      <c r="J47" s="561"/>
      <c r="K47" s="561"/>
      <c r="L47" s="562"/>
      <c r="M47" s="530" t="s">
        <v>291</v>
      </c>
      <c r="N47" s="531"/>
      <c r="O47" s="532"/>
    </row>
    <row r="48" spans="1:15">
      <c r="D48" s="223"/>
    </row>
    <row r="50" spans="4:4">
      <c r="D50" s="223"/>
    </row>
    <row r="51" spans="4:4">
      <c r="D51" s="223"/>
    </row>
  </sheetData>
  <mergeCells count="115">
    <mergeCell ref="J13:L13"/>
    <mergeCell ref="M13:O13"/>
    <mergeCell ref="E13:I13"/>
    <mergeCell ref="J15:L15"/>
    <mergeCell ref="M15:O15"/>
    <mergeCell ref="J20:L20"/>
    <mergeCell ref="M14:O14"/>
    <mergeCell ref="J14:L14"/>
    <mergeCell ref="B2:M2"/>
    <mergeCell ref="B5:O5"/>
    <mergeCell ref="M8:O8"/>
    <mergeCell ref="J8:L8"/>
    <mergeCell ref="E7:I7"/>
    <mergeCell ref="M12:O12"/>
    <mergeCell ref="B7:D7"/>
    <mergeCell ref="E8:I8"/>
    <mergeCell ref="J7:L7"/>
    <mergeCell ref="M7:O7"/>
    <mergeCell ref="B8:D8"/>
    <mergeCell ref="M9:O9"/>
    <mergeCell ref="B9:D9"/>
    <mergeCell ref="E9:I9"/>
    <mergeCell ref="J9:L9"/>
    <mergeCell ref="M10:O10"/>
    <mergeCell ref="J10:L10"/>
    <mergeCell ref="B10:D10"/>
    <mergeCell ref="E11:I11"/>
    <mergeCell ref="E10:I10"/>
    <mergeCell ref="E15:I15"/>
    <mergeCell ref="B40:D40"/>
    <mergeCell ref="J21:L21"/>
    <mergeCell ref="E20:I20"/>
    <mergeCell ref="B38:D38"/>
    <mergeCell ref="J22:L22"/>
    <mergeCell ref="B20:D20"/>
    <mergeCell ref="B15:D15"/>
    <mergeCell ref="B12:D12"/>
    <mergeCell ref="E12:I12"/>
    <mergeCell ref="E14:I14"/>
    <mergeCell ref="B14:D14"/>
    <mergeCell ref="B13:D13"/>
    <mergeCell ref="J12:L12"/>
    <mergeCell ref="B19:D19"/>
    <mergeCell ref="B17:O17"/>
    <mergeCell ref="J16:L16"/>
    <mergeCell ref="J19:L19"/>
    <mergeCell ref="M19:O19"/>
    <mergeCell ref="M16:O16"/>
    <mergeCell ref="B16:D16"/>
    <mergeCell ref="E19:I19"/>
    <mergeCell ref="E16:I16"/>
    <mergeCell ref="M20:O20"/>
    <mergeCell ref="M41:O41"/>
    <mergeCell ref="M34:O34"/>
    <mergeCell ref="M35:O35"/>
    <mergeCell ref="M24:O25"/>
    <mergeCell ref="E26:I26"/>
    <mergeCell ref="B36:D36"/>
    <mergeCell ref="E36:I36"/>
    <mergeCell ref="B26:D26"/>
    <mergeCell ref="B34:D34"/>
    <mergeCell ref="B35:D35"/>
    <mergeCell ref="M26:O26"/>
    <mergeCell ref="J26:L26"/>
    <mergeCell ref="B41:D41"/>
    <mergeCell ref="J41:L41"/>
    <mergeCell ref="B37:D37"/>
    <mergeCell ref="M21:O21"/>
    <mergeCell ref="B21:D21"/>
    <mergeCell ref="E21:I21"/>
    <mergeCell ref="B22:D22"/>
    <mergeCell ref="E22:I22"/>
    <mergeCell ref="M47:O47"/>
    <mergeCell ref="B31:O31"/>
    <mergeCell ref="B33:D33"/>
    <mergeCell ref="E33:I33"/>
    <mergeCell ref="J33:L33"/>
    <mergeCell ref="M33:O33"/>
    <mergeCell ref="J42:L42"/>
    <mergeCell ref="E44:I44"/>
    <mergeCell ref="B23:D23"/>
    <mergeCell ref="B24:D25"/>
    <mergeCell ref="E24:I24"/>
    <mergeCell ref="E23:I23"/>
    <mergeCell ref="J23:L23"/>
    <mergeCell ref="E25:I25"/>
    <mergeCell ref="B42:D42"/>
    <mergeCell ref="J24:L25"/>
    <mergeCell ref="E45:I45"/>
    <mergeCell ref="B47:L47"/>
    <mergeCell ref="E35:I35"/>
    <mergeCell ref="B39:D39"/>
    <mergeCell ref="B43:D43"/>
    <mergeCell ref="E39:I39"/>
    <mergeCell ref="J39:L39"/>
    <mergeCell ref="B44:D44"/>
    <mergeCell ref="B45:D45"/>
    <mergeCell ref="M22:O22"/>
    <mergeCell ref="J38:L38"/>
    <mergeCell ref="M45:O45"/>
    <mergeCell ref="M23:O23"/>
    <mergeCell ref="J34:L34"/>
    <mergeCell ref="M39:O39"/>
    <mergeCell ref="E40:I40"/>
    <mergeCell ref="E41:I41"/>
    <mergeCell ref="J45:L45"/>
    <mergeCell ref="E42:I42"/>
    <mergeCell ref="M42:O42"/>
    <mergeCell ref="J44:L44"/>
    <mergeCell ref="E34:I34"/>
    <mergeCell ref="J35:L35"/>
    <mergeCell ref="M36:O36"/>
    <mergeCell ref="J36:L36"/>
    <mergeCell ref="E43:I43"/>
    <mergeCell ref="E38:I38"/>
  </mergeCells>
  <phoneticPr fontId="32" type="noConversion"/>
  <pageMargins left="0.70866141732283472" right="0.62" top="0.74803149606299213" bottom="0.74803149606299213" header="0.31496062992125984" footer="0.31496062992125984"/>
  <pageSetup paperSize="9" orientation="landscape" r:id="rId1"/>
  <headerFooter alignWithMargins="0">
    <oddFooter>&amp;L&amp;F&amp;C&amp;A&amp;RV1.0          &amp;D</oddFooter>
  </headerFooter>
  <rowBreaks count="2" manualBreakCount="2">
    <brk id="16" max="16383" man="1"/>
    <brk id="29"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topLeftCell="C86" zoomScale="70" zoomScaleNormal="70" workbookViewId="0">
      <selection activeCell="C39" sqref="C39"/>
    </sheetView>
  </sheetViews>
  <sheetFormatPr defaultColWidth="11" defaultRowHeight="15"/>
  <cols>
    <col min="1" max="1" width="16.85546875" customWidth="1"/>
    <col min="2" max="2" width="119.7109375" bestFit="1" customWidth="1"/>
    <col min="3" max="7" width="16" customWidth="1"/>
    <col min="8" max="8" width="17.5703125" customWidth="1"/>
    <col min="9" max="9" width="16.28515625" customWidth="1"/>
    <col min="10" max="10" width="16.85546875" customWidth="1"/>
    <col min="11" max="11" width="16" customWidth="1"/>
    <col min="12" max="12" width="15.28515625" customWidth="1"/>
    <col min="13" max="13" width="16"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460" t="s">
        <v>400</v>
      </c>
      <c r="F1" s="490">
        <v>42412</v>
      </c>
      <c r="G1" s="3"/>
      <c r="H1" s="3"/>
      <c r="I1" s="3"/>
      <c r="J1" s="3"/>
      <c r="K1" s="3"/>
      <c r="L1" s="3"/>
      <c r="M1" s="3"/>
    </row>
    <row r="2" spans="1:13" ht="15.75" customHeight="1">
      <c r="A2" s="3"/>
      <c r="B2" s="603" t="s">
        <v>361</v>
      </c>
      <c r="C2" s="603"/>
      <c r="D2" s="603"/>
      <c r="E2" s="603"/>
      <c r="F2" s="603"/>
      <c r="G2" s="603"/>
      <c r="H2" s="603"/>
      <c r="I2" s="603"/>
      <c r="J2" s="603"/>
      <c r="K2" s="267"/>
      <c r="L2" s="267"/>
      <c r="M2" s="267"/>
    </row>
    <row r="3" spans="1:13" ht="4.5" customHeight="1">
      <c r="A3" s="3"/>
      <c r="B3" s="3"/>
      <c r="C3" s="3"/>
      <c r="D3" s="3"/>
      <c r="E3" s="3"/>
      <c r="F3" s="3"/>
      <c r="G3" s="3"/>
      <c r="H3" s="3"/>
      <c r="I3" s="3"/>
      <c r="J3" s="3"/>
      <c r="K3" s="3"/>
      <c r="L3" s="3"/>
      <c r="M3" s="3"/>
    </row>
    <row r="4" spans="1:13">
      <c r="A4" s="3"/>
      <c r="B4" s="265" t="s">
        <v>33</v>
      </c>
      <c r="C4" s="604" t="s">
        <v>184</v>
      </c>
      <c r="D4" s="605"/>
      <c r="E4" s="606" t="s">
        <v>19</v>
      </c>
      <c r="F4" s="606"/>
      <c r="G4" s="604" t="s">
        <v>389</v>
      </c>
      <c r="H4" s="607"/>
      <c r="I4" s="607"/>
      <c r="J4" s="605"/>
      <c r="K4" s="3"/>
      <c r="L4" s="3"/>
      <c r="M4" s="3"/>
    </row>
    <row r="5" spans="1:13" ht="3" customHeight="1">
      <c r="A5" s="3"/>
      <c r="B5" s="265"/>
      <c r="C5" s="3"/>
      <c r="D5" s="3"/>
      <c r="E5" s="268"/>
      <c r="F5" s="268"/>
      <c r="G5" s="3"/>
      <c r="H5" s="3"/>
      <c r="I5" s="3"/>
      <c r="J5" s="3"/>
      <c r="K5" s="3"/>
      <c r="L5" s="3"/>
      <c r="M5" s="3"/>
    </row>
    <row r="6" spans="1:13">
      <c r="A6" s="3"/>
      <c r="B6" s="265" t="s">
        <v>123</v>
      </c>
      <c r="C6" s="615" t="s">
        <v>407</v>
      </c>
      <c r="D6" s="605"/>
      <c r="E6" s="606" t="s">
        <v>34</v>
      </c>
      <c r="F6" s="606"/>
      <c r="G6" s="467" t="s">
        <v>35</v>
      </c>
      <c r="H6" s="499" t="s">
        <v>443</v>
      </c>
      <c r="I6" s="610">
        <v>1621833</v>
      </c>
      <c r="J6" s="611"/>
      <c r="K6" s="3"/>
      <c r="L6" s="3"/>
      <c r="M6" s="3"/>
    </row>
    <row r="7" spans="1:13" ht="3" customHeight="1">
      <c r="A7" s="3"/>
      <c r="B7" s="265"/>
      <c r="C7" s="3"/>
      <c r="D7" s="3"/>
      <c r="E7" s="268"/>
      <c r="F7" s="268"/>
      <c r="G7" s="468"/>
      <c r="H7" s="265"/>
      <c r="I7" s="3"/>
      <c r="J7" s="3"/>
      <c r="K7" s="3"/>
      <c r="L7" s="3"/>
      <c r="M7" s="3"/>
    </row>
    <row r="8" spans="1:13">
      <c r="A8" s="3"/>
      <c r="B8" s="265" t="s">
        <v>275</v>
      </c>
      <c r="C8" s="604" t="s">
        <v>408</v>
      </c>
      <c r="D8" s="605"/>
      <c r="E8" s="269"/>
      <c r="F8" s="264" t="s">
        <v>325</v>
      </c>
      <c r="G8" s="469" t="s">
        <v>360</v>
      </c>
      <c r="H8" s="264" t="s">
        <v>324</v>
      </c>
      <c r="I8" s="616" t="s">
        <v>360</v>
      </c>
      <c r="J8" s="617"/>
      <c r="K8" s="3"/>
      <c r="L8" s="3"/>
      <c r="M8" s="3"/>
    </row>
    <row r="9" spans="1:13" ht="3" customHeight="1">
      <c r="A9" s="3"/>
      <c r="B9" s="268"/>
      <c r="C9" s="3"/>
      <c r="D9" s="3"/>
      <c r="E9" s="268"/>
      <c r="F9" s="268"/>
      <c r="G9" s="3"/>
      <c r="H9" s="3"/>
      <c r="I9" s="3"/>
      <c r="J9" s="3"/>
      <c r="K9" s="3"/>
      <c r="L9" s="3"/>
      <c r="M9" s="3"/>
    </row>
    <row r="10" spans="1:13">
      <c r="A10" s="3"/>
      <c r="B10" s="265" t="s">
        <v>384</v>
      </c>
      <c r="C10" s="641">
        <v>42186</v>
      </c>
      <c r="D10" s="642"/>
      <c r="E10" s="608" t="s">
        <v>38</v>
      </c>
      <c r="F10" s="609"/>
      <c r="G10" s="616" t="s">
        <v>64</v>
      </c>
      <c r="H10" s="619"/>
      <c r="I10" s="619"/>
      <c r="J10" s="617"/>
      <c r="K10" s="3"/>
      <c r="L10" s="3"/>
      <c r="M10" s="3"/>
    </row>
    <row r="11" spans="1:13" ht="5.25" customHeight="1">
      <c r="A11" s="3"/>
      <c r="B11" s="3"/>
      <c r="C11" s="3"/>
      <c r="D11" s="3"/>
      <c r="E11" s="3"/>
      <c r="F11" s="3"/>
      <c r="G11" s="3"/>
      <c r="H11" s="3"/>
      <c r="I11" s="3"/>
      <c r="J11" s="3"/>
      <c r="K11" s="3"/>
      <c r="L11" s="3"/>
      <c r="M11" s="3"/>
    </row>
    <row r="12" spans="1:13" ht="15" customHeight="1">
      <c r="A12" s="3"/>
      <c r="B12" s="265" t="s">
        <v>36</v>
      </c>
      <c r="C12" s="618" t="s">
        <v>51</v>
      </c>
      <c r="D12" s="618"/>
      <c r="E12" s="608" t="s">
        <v>295</v>
      </c>
      <c r="F12" s="606"/>
      <c r="G12" s="612" t="s">
        <v>459</v>
      </c>
      <c r="H12" s="613"/>
      <c r="I12" s="613"/>
      <c r="J12" s="614"/>
      <c r="K12" s="3"/>
      <c r="L12" s="3"/>
      <c r="M12" s="3"/>
    </row>
    <row r="13" spans="1:13" ht="5.25" customHeight="1">
      <c r="A13" s="3"/>
      <c r="B13" s="3"/>
      <c r="C13" s="3"/>
      <c r="D13" s="3"/>
      <c r="E13" s="3"/>
      <c r="F13" s="3"/>
      <c r="G13" s="3"/>
      <c r="H13" s="3"/>
      <c r="I13" s="3"/>
      <c r="J13" s="3"/>
      <c r="K13" s="3"/>
      <c r="L13" s="3"/>
      <c r="M13" s="3"/>
    </row>
    <row r="14" spans="1:13" ht="15.75" customHeight="1">
      <c r="A14" s="3"/>
      <c r="B14" s="603" t="s">
        <v>7</v>
      </c>
      <c r="C14" s="603"/>
      <c r="D14" s="603"/>
      <c r="E14" s="603"/>
      <c r="F14" s="603"/>
      <c r="G14" s="603"/>
      <c r="H14" s="603"/>
      <c r="I14" s="603"/>
      <c r="J14" s="603"/>
      <c r="K14" s="3"/>
      <c r="L14" s="3"/>
      <c r="M14" s="3"/>
    </row>
    <row r="15" spans="1:13" ht="3" customHeight="1">
      <c r="A15" s="3"/>
      <c r="B15" s="3"/>
      <c r="C15" s="3"/>
      <c r="D15" s="3"/>
      <c r="E15" s="3"/>
      <c r="F15" s="3"/>
      <c r="G15" s="3"/>
      <c r="H15" s="3"/>
      <c r="I15" s="3"/>
      <c r="J15" s="3"/>
      <c r="K15" s="3"/>
      <c r="L15" s="3"/>
      <c r="M15" s="3"/>
    </row>
    <row r="16" spans="1:13">
      <c r="A16" s="3"/>
      <c r="B16" s="265" t="s">
        <v>28</v>
      </c>
      <c r="C16" s="382" t="s">
        <v>113</v>
      </c>
      <c r="D16" s="264" t="s">
        <v>326</v>
      </c>
      <c r="E16" s="504">
        <v>42278</v>
      </c>
      <c r="F16" s="266" t="s">
        <v>15</v>
      </c>
      <c r="G16" s="504">
        <v>42369</v>
      </c>
      <c r="H16" s="608" t="s">
        <v>327</v>
      </c>
      <c r="I16" s="609"/>
      <c r="J16" s="501">
        <v>42412</v>
      </c>
      <c r="K16" s="3"/>
      <c r="L16" s="3"/>
      <c r="M16" s="3"/>
    </row>
    <row r="17" spans="1:35" ht="3" customHeight="1">
      <c r="A17" s="3"/>
      <c r="B17" s="3"/>
      <c r="C17" s="3"/>
      <c r="D17" s="3"/>
      <c r="E17" s="3"/>
      <c r="F17" s="3"/>
      <c r="G17" s="3"/>
      <c r="H17" s="3"/>
      <c r="I17" s="3"/>
      <c r="J17" s="3"/>
      <c r="K17" s="3"/>
      <c r="L17" s="3"/>
      <c r="M17" s="3"/>
    </row>
    <row r="18" spans="1:35">
      <c r="A18" s="3"/>
      <c r="B18" s="623" t="s">
        <v>39</v>
      </c>
      <c r="C18" s="609"/>
      <c r="D18" s="616" t="s">
        <v>442</v>
      </c>
      <c r="E18" s="619"/>
      <c r="F18" s="617"/>
      <c r="G18" s="270"/>
      <c r="H18" s="270"/>
      <c r="I18" s="270"/>
      <c r="J18" s="270"/>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03" t="s">
        <v>350</v>
      </c>
      <c r="C21" s="603"/>
      <c r="D21" s="603"/>
      <c r="E21" s="603"/>
      <c r="F21" s="603"/>
      <c r="G21" s="603"/>
      <c r="H21" s="603"/>
      <c r="I21" s="603"/>
      <c r="J21" s="603"/>
      <c r="K21" s="3"/>
      <c r="L21" s="3"/>
      <c r="M21" s="3"/>
    </row>
    <row r="22" spans="1:35">
      <c r="A22" s="3"/>
      <c r="B22" s="268" t="s">
        <v>8</v>
      </c>
      <c r="C22" s="3"/>
      <c r="D22" s="3"/>
      <c r="E22" s="271"/>
      <c r="F22" s="271"/>
      <c r="G22" s="3"/>
      <c r="H22" s="3"/>
      <c r="I22" s="271"/>
      <c r="J22" s="271"/>
      <c r="K22" s="3"/>
      <c r="L22" s="3"/>
      <c r="M22" s="3"/>
    </row>
    <row r="23" spans="1:35" ht="3" customHeight="1">
      <c r="A23" s="3"/>
      <c r="B23" s="3"/>
      <c r="C23" s="3"/>
      <c r="D23" s="3"/>
      <c r="E23" s="3"/>
      <c r="F23" s="3"/>
      <c r="G23" s="3"/>
      <c r="H23" s="3"/>
      <c r="I23" s="3"/>
      <c r="J23" s="3"/>
      <c r="K23" s="3"/>
      <c r="L23" s="3"/>
      <c r="M23" s="3"/>
    </row>
    <row r="24" spans="1:35" ht="15.75" thickBot="1">
      <c r="A24" s="3"/>
      <c r="B24" s="265" t="s">
        <v>381</v>
      </c>
      <c r="C24" s="369"/>
      <c r="D24" s="606" t="s">
        <v>382</v>
      </c>
      <c r="E24" s="606"/>
      <c r="F24" s="370"/>
      <c r="G24" s="606" t="s">
        <v>383</v>
      </c>
      <c r="H24" s="606"/>
      <c r="I24" s="624"/>
      <c r="J24" s="625"/>
      <c r="K24" s="3"/>
      <c r="L24" s="3"/>
      <c r="M24" s="3"/>
      <c r="N24" s="20"/>
    </row>
    <row r="25" spans="1:35" ht="19.5" thickBot="1">
      <c r="A25" s="3"/>
      <c r="B25" s="87" t="s">
        <v>381</v>
      </c>
      <c r="C25" s="88"/>
      <c r="D25" s="88"/>
      <c r="E25" s="88"/>
      <c r="F25" s="88"/>
      <c r="G25" s="88"/>
      <c r="H25" s="252"/>
      <c r="I25" s="89"/>
      <c r="J25" s="89"/>
      <c r="K25" s="252" t="s">
        <v>328</v>
      </c>
      <c r="L25" s="88"/>
      <c r="M25" s="88"/>
      <c r="N25" s="390"/>
      <c r="O25" s="40"/>
      <c r="AI25" s="44"/>
    </row>
    <row r="26" spans="1:35">
      <c r="A26" s="3"/>
      <c r="B26" s="639" t="s">
        <v>357</v>
      </c>
      <c r="C26" s="640"/>
      <c r="D26" s="404" t="s">
        <v>26</v>
      </c>
      <c r="E26" s="91"/>
      <c r="F26" s="91"/>
      <c r="G26" s="91"/>
      <c r="H26" s="91"/>
      <c r="I26" s="91"/>
      <c r="J26" s="92"/>
      <c r="K26" s="91"/>
      <c r="L26" s="91"/>
      <c r="M26" s="91"/>
      <c r="N26" s="40"/>
      <c r="O26" s="40"/>
      <c r="AI26" s="44"/>
    </row>
    <row r="27" spans="1:35" ht="18.75">
      <c r="A27" s="3"/>
      <c r="B27" s="90" t="s">
        <v>366</v>
      </c>
      <c r="C27" s="91"/>
      <c r="D27" s="91"/>
      <c r="E27" s="91"/>
      <c r="F27" s="91"/>
      <c r="G27" s="91"/>
      <c r="H27" s="91"/>
      <c r="I27" s="91"/>
      <c r="J27" s="92"/>
      <c r="K27" s="91"/>
      <c r="L27" s="91"/>
      <c r="M27" s="91"/>
      <c r="N27" s="40"/>
      <c r="O27" s="40"/>
      <c r="AI27" s="44"/>
    </row>
    <row r="28" spans="1:35" ht="15.75" thickBot="1">
      <c r="A28" s="3"/>
      <c r="B28" s="473" t="s">
        <v>421</v>
      </c>
      <c r="C28" s="458" t="s">
        <v>438</v>
      </c>
      <c r="D28" s="458" t="s">
        <v>439</v>
      </c>
      <c r="E28" s="458" t="s">
        <v>447</v>
      </c>
      <c r="F28" s="458" t="s">
        <v>448</v>
      </c>
      <c r="G28" s="458" t="s">
        <v>449</v>
      </c>
      <c r="H28" s="458" t="s">
        <v>450</v>
      </c>
      <c r="I28" s="458" t="s">
        <v>451</v>
      </c>
      <c r="J28" s="458" t="s">
        <v>452</v>
      </c>
      <c r="K28" s="458" t="s">
        <v>453</v>
      </c>
      <c r="L28" s="458" t="s">
        <v>454</v>
      </c>
      <c r="M28" s="458"/>
      <c r="N28" s="459"/>
    </row>
    <row r="29" spans="1:35" ht="15.75" thickBot="1">
      <c r="A29" s="3"/>
      <c r="B29" s="632"/>
      <c r="C29" s="633"/>
      <c r="D29" s="633"/>
      <c r="E29" s="633"/>
      <c r="F29" s="633"/>
      <c r="G29" s="633"/>
      <c r="H29" s="633"/>
      <c r="I29" s="633"/>
      <c r="J29" s="633"/>
      <c r="K29" s="633"/>
      <c r="L29" s="633"/>
      <c r="M29" s="633"/>
      <c r="N29" s="634"/>
      <c r="P29" s="208"/>
      <c r="Q29" s="209"/>
      <c r="R29" s="210">
        <f>+C33</f>
        <v>275210</v>
      </c>
      <c r="S29" s="208"/>
    </row>
    <row r="30" spans="1:35">
      <c r="A30" s="3"/>
      <c r="B30" s="93" t="s">
        <v>274</v>
      </c>
      <c r="C30" s="350" t="s">
        <v>112</v>
      </c>
      <c r="D30" s="350" t="s">
        <v>113</v>
      </c>
      <c r="E30" s="350" t="s">
        <v>114</v>
      </c>
      <c r="F30" s="350" t="s">
        <v>115</v>
      </c>
      <c r="G30" s="350" t="s">
        <v>127</v>
      </c>
      <c r="H30" s="350" t="s">
        <v>128</v>
      </c>
      <c r="I30" s="350" t="s">
        <v>129</v>
      </c>
      <c r="J30" s="350" t="s">
        <v>130</v>
      </c>
      <c r="K30" s="350" t="s">
        <v>131</v>
      </c>
      <c r="L30" s="350" t="s">
        <v>132</v>
      </c>
      <c r="M30" s="350" t="s">
        <v>133</v>
      </c>
      <c r="N30" s="351" t="s">
        <v>293</v>
      </c>
      <c r="O30" s="352" t="s">
        <v>9</v>
      </c>
      <c r="P30" s="208"/>
      <c r="Q30" s="209"/>
      <c r="R30" s="210">
        <f>+D33</f>
        <v>400961</v>
      </c>
      <c r="S30" s="208"/>
    </row>
    <row r="31" spans="1:35">
      <c r="A31" s="3"/>
      <c r="B31" s="261" t="str">
        <f>CONCATENATE("Budget (in ",'Data Entry'!$D$26,")")</f>
        <v>Budget (in $)</v>
      </c>
      <c r="C31" s="359">
        <v>275210</v>
      </c>
      <c r="D31" s="359">
        <v>125751</v>
      </c>
      <c r="E31" s="359"/>
      <c r="F31" s="359"/>
      <c r="G31" s="359"/>
      <c r="H31" s="503"/>
      <c r="I31" s="503"/>
      <c r="J31" s="359"/>
      <c r="K31" s="359"/>
      <c r="L31" s="359"/>
      <c r="M31" s="359"/>
      <c r="N31" s="359"/>
      <c r="O31" s="652">
        <f>+SUM(C35:N35)</f>
        <v>1.4603564935243079</v>
      </c>
      <c r="P31" s="208"/>
      <c r="Q31" s="209"/>
      <c r="R31" s="210">
        <f>+E33</f>
        <v>0</v>
      </c>
      <c r="S31" s="208"/>
    </row>
    <row r="32" spans="1:35">
      <c r="A32" s="3"/>
      <c r="B32" s="93" t="str">
        <f>CONCATENATE("Disbursements by GF (in ", $D$26,")")</f>
        <v>Disbursements by GF (in $)</v>
      </c>
      <c r="C32" s="359">
        <v>585546</v>
      </c>
      <c r="D32" s="360"/>
      <c r="E32" s="360"/>
      <c r="F32" s="360"/>
      <c r="G32" s="360"/>
      <c r="H32" s="360"/>
      <c r="I32" s="359"/>
      <c r="J32" s="359"/>
      <c r="K32" s="359"/>
      <c r="L32" s="359"/>
      <c r="M32" s="359"/>
      <c r="N32" s="359"/>
      <c r="O32" s="653"/>
      <c r="P32" s="208"/>
      <c r="Q32" s="209"/>
      <c r="R32" s="210">
        <f>+F33</f>
        <v>0</v>
      </c>
      <c r="S32" s="208"/>
    </row>
    <row r="33" spans="1:35">
      <c r="A33" s="3"/>
      <c r="B33" s="94" t="s">
        <v>371</v>
      </c>
      <c r="C33" s="361">
        <f>+C31</f>
        <v>275210</v>
      </c>
      <c r="D33" s="361">
        <f>IF(AND(D31=0,D32=0),0,+C33+D31)</f>
        <v>400961</v>
      </c>
      <c r="E33" s="361">
        <f t="shared" ref="E33:N33" si="0">IF(AND(E31=0,E32=0),0,+D33+E31)</f>
        <v>0</v>
      </c>
      <c r="F33" s="361">
        <f t="shared" si="0"/>
        <v>0</v>
      </c>
      <c r="G33" s="361">
        <f>IF(AND(G31=0,G32=0),0,+F33+G31)</f>
        <v>0</v>
      </c>
      <c r="H33" s="361">
        <f t="shared" si="0"/>
        <v>0</v>
      </c>
      <c r="I33" s="361">
        <f t="shared" si="0"/>
        <v>0</v>
      </c>
      <c r="J33" s="361">
        <f t="shared" si="0"/>
        <v>0</v>
      </c>
      <c r="K33" s="361">
        <f>J33+K31</f>
        <v>0</v>
      </c>
      <c r="L33" s="361">
        <f t="shared" si="0"/>
        <v>0</v>
      </c>
      <c r="M33" s="361">
        <f t="shared" si="0"/>
        <v>0</v>
      </c>
      <c r="N33" s="361">
        <f t="shared" si="0"/>
        <v>0</v>
      </c>
      <c r="O33" s="653"/>
      <c r="P33" s="344"/>
      <c r="Q33" s="209"/>
      <c r="R33" s="210">
        <f>+G33</f>
        <v>0</v>
      </c>
      <c r="S33" s="208"/>
    </row>
    <row r="34" spans="1:35" ht="15.75" thickBot="1">
      <c r="A34" s="3"/>
      <c r="B34" s="95" t="s">
        <v>372</v>
      </c>
      <c r="C34" s="362">
        <f>C32</f>
        <v>585546</v>
      </c>
      <c r="D34" s="362">
        <f>+C34+D32</f>
        <v>585546</v>
      </c>
      <c r="E34" s="362"/>
      <c r="F34" s="361"/>
      <c r="G34" s="362"/>
      <c r="H34" s="362"/>
      <c r="I34" s="362"/>
      <c r="J34" s="362"/>
      <c r="K34" s="362"/>
      <c r="L34" s="362"/>
      <c r="M34" s="362"/>
      <c r="N34" s="362">
        <f t="shared" ref="N34" si="1">IF(AND(N31=0,N32=0),0,+M34+N32)</f>
        <v>0</v>
      </c>
      <c r="O34" s="654"/>
      <c r="P34" s="344"/>
      <c r="Q34" s="209"/>
      <c r="R34" s="210">
        <f>+H33</f>
        <v>0</v>
      </c>
      <c r="S34" s="208"/>
    </row>
    <row r="35" spans="1:35">
      <c r="A35" s="3"/>
      <c r="B35" s="3"/>
      <c r="C35" s="325">
        <f>+IF(AND(C30=$C$16,C33&lt;&gt;0),C34/C33,0)</f>
        <v>0</v>
      </c>
      <c r="D35" s="325">
        <f t="shared" ref="D35:N35" si="2">+IF(AND(D30=$C$16,D33&lt;&gt;0),D34/D33,0)</f>
        <v>1.4603564935243079</v>
      </c>
      <c r="E35" s="325">
        <f t="shared" si="2"/>
        <v>0</v>
      </c>
      <c r="F35" s="325">
        <f t="shared" si="2"/>
        <v>0</v>
      </c>
      <c r="G35" s="325">
        <f t="shared" si="2"/>
        <v>0</v>
      </c>
      <c r="H35" s="325">
        <f t="shared" si="2"/>
        <v>0</v>
      </c>
      <c r="I35" s="325">
        <f t="shared" si="2"/>
        <v>0</v>
      </c>
      <c r="J35" s="325">
        <f t="shared" si="2"/>
        <v>0</v>
      </c>
      <c r="K35" s="325">
        <f t="shared" si="2"/>
        <v>0</v>
      </c>
      <c r="L35" s="325">
        <f t="shared" si="2"/>
        <v>0</v>
      </c>
      <c r="M35" s="325">
        <f t="shared" si="2"/>
        <v>0</v>
      </c>
      <c r="N35" s="325">
        <f t="shared" si="2"/>
        <v>0</v>
      </c>
      <c r="O35" s="272"/>
      <c r="P35" s="211"/>
      <c r="Q35" s="212"/>
      <c r="R35" s="210">
        <f>+I33</f>
        <v>0</v>
      </c>
      <c r="S35" s="208"/>
    </row>
    <row r="36" spans="1:35" ht="18.75">
      <c r="A36" s="3"/>
      <c r="B36" s="90" t="s">
        <v>365</v>
      </c>
      <c r="C36" s="3"/>
      <c r="D36" s="3"/>
      <c r="E36" s="334"/>
      <c r="F36" s="3"/>
      <c r="G36" s="24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73" t="s">
        <v>463</v>
      </c>
      <c r="C38" s="374" t="str">
        <f>CONCATENATE("Cumulative Budget (in ",'Data Entry'!$D$26,")")</f>
        <v>Cumulative Budget (in $)</v>
      </c>
      <c r="D38" s="375" t="str">
        <f>CONCATENATE("Cumulative Expenditures (in ",'Data Entry'!$D$26,")")</f>
        <v>Cumulative Expenditures (in $)</v>
      </c>
      <c r="E38" s="258"/>
      <c r="F38" s="479" t="s">
        <v>431</v>
      </c>
      <c r="G38" s="3"/>
      <c r="H38" s="3"/>
      <c r="I38" s="3"/>
      <c r="J38" s="100"/>
      <c r="K38" s="42"/>
      <c r="N38"/>
      <c r="O38"/>
      <c r="AE38" s="20"/>
      <c r="AF38" s="36"/>
    </row>
    <row r="39" spans="1:35" ht="32.25" customHeight="1">
      <c r="A39" s="3"/>
      <c r="B39" s="376" t="s">
        <v>462</v>
      </c>
      <c r="C39" s="371">
        <f>49594+3574.29</f>
        <v>53168.29</v>
      </c>
      <c r="D39" s="377">
        <f>40517.43+3291.57</f>
        <v>43809</v>
      </c>
      <c r="E39" s="273"/>
      <c r="F39" s="480"/>
      <c r="G39" s="345"/>
      <c r="H39" s="3"/>
      <c r="I39" s="3"/>
      <c r="J39" s="101"/>
      <c r="K39" s="43"/>
      <c r="N39"/>
      <c r="O39"/>
      <c r="AE39" s="20"/>
      <c r="AF39" s="36"/>
    </row>
    <row r="40" spans="1:35" ht="30.75" customHeight="1">
      <c r="A40" s="3"/>
      <c r="B40" s="376" t="s">
        <v>445</v>
      </c>
      <c r="C40" s="498">
        <v>347793</v>
      </c>
      <c r="D40" s="377">
        <v>267300.43</v>
      </c>
      <c r="E40" s="15"/>
      <c r="F40" s="481"/>
      <c r="G40" s="345"/>
      <c r="H40" s="3"/>
      <c r="I40" s="3"/>
      <c r="J40" s="3"/>
      <c r="K40" s="43"/>
      <c r="N40"/>
      <c r="O40"/>
      <c r="AE40" s="20"/>
      <c r="AF40" s="36"/>
    </row>
    <row r="41" spans="1:35">
      <c r="A41" s="3"/>
      <c r="B41" s="378"/>
      <c r="C41" s="372"/>
      <c r="D41" s="377"/>
      <c r="E41" s="15"/>
      <c r="F41" s="482"/>
      <c r="G41" s="3"/>
      <c r="H41" s="3"/>
      <c r="I41" s="3"/>
      <c r="J41" s="3"/>
      <c r="K41" s="43"/>
      <c r="N41"/>
      <c r="O41"/>
      <c r="AE41" s="20"/>
      <c r="AF41" s="36"/>
    </row>
    <row r="42" spans="1:35" ht="15" customHeight="1">
      <c r="A42" s="3"/>
      <c r="B42" s="376"/>
      <c r="C42" s="371"/>
      <c r="D42" s="377"/>
      <c r="E42" s="15"/>
      <c r="F42" s="483"/>
      <c r="G42" s="3"/>
      <c r="H42" s="3"/>
      <c r="I42" s="3"/>
      <c r="J42" s="3"/>
      <c r="K42" s="20"/>
      <c r="N42"/>
      <c r="O42"/>
      <c r="AE42" s="20"/>
      <c r="AF42" s="36"/>
    </row>
    <row r="43" spans="1:35">
      <c r="A43" s="3"/>
      <c r="B43" s="378"/>
      <c r="C43" s="372"/>
      <c r="D43" s="377"/>
      <c r="E43" s="15"/>
      <c r="F43" s="484"/>
      <c r="G43" s="3"/>
      <c r="H43" s="3"/>
      <c r="I43" s="3"/>
      <c r="J43" s="3"/>
      <c r="K43" s="20"/>
      <c r="N43"/>
      <c r="O43"/>
      <c r="AE43" s="20"/>
      <c r="AF43" s="36"/>
    </row>
    <row r="44" spans="1:35">
      <c r="A44" s="3"/>
      <c r="B44" s="378"/>
      <c r="C44" s="372"/>
      <c r="D44" s="377"/>
      <c r="E44" s="15"/>
      <c r="F44" s="485"/>
      <c r="G44" s="3"/>
      <c r="H44" s="3"/>
      <c r="I44" s="3"/>
      <c r="J44" s="3"/>
      <c r="K44" s="20"/>
      <c r="N44"/>
      <c r="O44"/>
      <c r="AE44" s="20"/>
      <c r="AF44" s="36"/>
    </row>
    <row r="45" spans="1:35">
      <c r="A45" s="3"/>
      <c r="B45" s="378"/>
      <c r="C45" s="372"/>
      <c r="D45" s="377"/>
      <c r="E45" s="15"/>
      <c r="F45" s="486"/>
      <c r="G45" s="15"/>
      <c r="H45" s="15"/>
      <c r="I45" s="15"/>
      <c r="J45" s="15"/>
      <c r="K45" s="20"/>
      <c r="N45"/>
      <c r="O45"/>
      <c r="AE45" s="36"/>
      <c r="AF45" s="36"/>
    </row>
    <row r="46" spans="1:35" ht="15.75" thickBot="1">
      <c r="A46" s="3"/>
      <c r="B46" s="379"/>
      <c r="C46" s="371"/>
      <c r="D46" s="377"/>
      <c r="E46" s="15"/>
      <c r="F46" s="15"/>
      <c r="G46" s="15"/>
      <c r="H46" s="15"/>
      <c r="I46" s="15"/>
      <c r="J46" s="15"/>
      <c r="K46" s="20"/>
      <c r="N46"/>
      <c r="O46"/>
      <c r="AE46" s="36"/>
      <c r="AF46" s="36"/>
    </row>
    <row r="47" spans="1:35" ht="15.75" thickBot="1">
      <c r="A47" s="3"/>
      <c r="B47" s="380" t="s">
        <v>66</v>
      </c>
      <c r="C47" s="381">
        <f>SUM(C39:C46)</f>
        <v>400961.29</v>
      </c>
      <c r="D47" s="381">
        <f>SUM(D39:D46)</f>
        <v>311109.43</v>
      </c>
      <c r="E47" s="272"/>
      <c r="F47" s="662" t="str">
        <f ca="1">+IF((ROUND(C47,0)=ROUND(OFFSET(B33,0,RIGHT('Data Entry'!$C$16,LEN('Data Entry'!$C$16)-1),1,1),0)),"OK: Data match","Warning:  Cumulative Budget data do not match")</f>
        <v>OK: Data match</v>
      </c>
      <c r="G47" s="663"/>
      <c r="H47" s="663"/>
      <c r="I47" s="664"/>
      <c r="J47" s="202"/>
      <c r="K47" s="202"/>
      <c r="L47" s="202"/>
      <c r="M47" s="211"/>
      <c r="N47" s="212"/>
      <c r="O47" s="210"/>
      <c r="P47" s="208"/>
      <c r="AE47" s="36"/>
      <c r="AF47" s="36"/>
    </row>
    <row r="48" spans="1:35">
      <c r="A48" s="3"/>
      <c r="B48" s="3"/>
      <c r="C48" s="202"/>
      <c r="D48" s="202"/>
      <c r="E48" s="255"/>
      <c r="F48" s="202"/>
      <c r="G48" s="202"/>
      <c r="H48" s="202"/>
      <c r="I48" s="202"/>
      <c r="J48" s="202"/>
      <c r="K48" s="202"/>
      <c r="L48" s="202"/>
      <c r="M48" s="202"/>
      <c r="N48" s="202"/>
      <c r="O48" s="202"/>
      <c r="P48" s="211"/>
      <c r="Q48" s="212"/>
      <c r="R48" s="210"/>
      <c r="S48" s="208"/>
    </row>
    <row r="49" spans="1:35" ht="18.75">
      <c r="A49" s="3"/>
      <c r="B49" s="90" t="s">
        <v>364</v>
      </c>
      <c r="C49" s="3"/>
      <c r="D49" s="3"/>
      <c r="E49" s="3"/>
      <c r="F49" s="3"/>
      <c r="G49" s="3"/>
      <c r="H49" s="3"/>
      <c r="I49" s="3"/>
      <c r="J49" s="3"/>
      <c r="K49" s="3"/>
      <c r="L49" s="3"/>
      <c r="M49" s="3"/>
      <c r="P49" s="208"/>
      <c r="Q49" s="209"/>
      <c r="R49" s="210">
        <f>+J33</f>
        <v>0</v>
      </c>
      <c r="S49" s="208"/>
    </row>
    <row r="50" spans="1:35" ht="15.75" thickBot="1">
      <c r="A50" s="3"/>
      <c r="B50" s="3"/>
      <c r="C50" s="3"/>
      <c r="D50" s="3"/>
      <c r="E50" s="3"/>
      <c r="F50" s="3"/>
      <c r="G50" s="3"/>
      <c r="H50" s="3"/>
      <c r="I50" s="3"/>
      <c r="J50" s="3"/>
      <c r="K50" s="3"/>
      <c r="L50" s="3"/>
      <c r="M50" s="3"/>
      <c r="P50" s="208"/>
      <c r="Q50" s="209"/>
      <c r="R50" s="210">
        <f>+K33</f>
        <v>0</v>
      </c>
      <c r="S50" s="208"/>
    </row>
    <row r="51" spans="1:35" ht="42.75" customHeight="1">
      <c r="A51" s="3"/>
      <c r="B51" s="278"/>
      <c r="C51" s="279" t="s">
        <v>362</v>
      </c>
      <c r="D51" s="279" t="s">
        <v>363</v>
      </c>
      <c r="E51" s="396" t="str">
        <f>CONCATENATE("Total Spent and Disbursement (in ",D26,")")</f>
        <v>Total Spent and Disbursement (in $)</v>
      </c>
      <c r="F51" s="3"/>
      <c r="G51" s="479" t="s">
        <v>431</v>
      </c>
      <c r="H51" s="275"/>
      <c r="I51" s="262"/>
      <c r="J51" s="262"/>
      <c r="K51" s="262"/>
      <c r="L51" s="262"/>
      <c r="M51" s="22"/>
      <c r="N51" s="22"/>
      <c r="O51" s="208"/>
      <c r="P51" s="209"/>
      <c r="Q51" s="210">
        <f>+M33</f>
        <v>0</v>
      </c>
      <c r="R51" s="208"/>
      <c r="AH51" s="20"/>
    </row>
    <row r="52" spans="1:35">
      <c r="A52" s="3"/>
      <c r="B52" s="276" t="s">
        <v>315</v>
      </c>
      <c r="C52" s="364">
        <v>585546</v>
      </c>
      <c r="D52" s="364">
        <v>0</v>
      </c>
      <c r="E52" s="365">
        <f>+D52+C52</f>
        <v>585546</v>
      </c>
      <c r="F52" s="3"/>
      <c r="G52" s="487"/>
      <c r="H52" s="280"/>
      <c r="I52" s="96"/>
      <c r="J52" s="205"/>
      <c r="K52" s="206"/>
      <c r="L52" s="97"/>
      <c r="M52" s="37"/>
      <c r="N52" s="37"/>
      <c r="O52" s="208"/>
      <c r="P52" s="208"/>
      <c r="Q52" s="208"/>
      <c r="R52" s="208"/>
      <c r="AH52" s="20"/>
    </row>
    <row r="53" spans="1:35">
      <c r="A53" s="3"/>
      <c r="B53" s="276" t="s">
        <v>296</v>
      </c>
      <c r="C53" s="363">
        <v>208825</v>
      </c>
      <c r="D53" s="363">
        <v>104139.99</v>
      </c>
      <c r="E53" s="365">
        <f>+D53+C53</f>
        <v>312964.99</v>
      </c>
      <c r="F53" s="3"/>
      <c r="G53" s="488"/>
      <c r="H53" s="280"/>
      <c r="I53" s="96"/>
      <c r="J53" s="205"/>
      <c r="K53" s="205"/>
      <c r="L53" s="97"/>
      <c r="M53" s="38"/>
      <c r="N53" s="38"/>
      <c r="O53" s="208"/>
      <c r="P53" s="208"/>
      <c r="Q53" s="208"/>
      <c r="R53" s="208"/>
      <c r="AH53" s="20"/>
    </row>
    <row r="54" spans="1:35">
      <c r="A54" s="3"/>
      <c r="B54" s="276" t="s">
        <v>276</v>
      </c>
      <c r="C54" s="363">
        <v>19568.09</v>
      </c>
      <c r="D54" s="363">
        <v>9787.2198772319953</v>
      </c>
      <c r="E54" s="365">
        <f>+D54+C54</f>
        <v>29355.309877231994</v>
      </c>
      <c r="F54" s="3"/>
      <c r="G54" s="488"/>
      <c r="H54" s="280"/>
      <c r="I54" s="96"/>
      <c r="J54" s="205"/>
      <c r="K54" s="206"/>
      <c r="L54" s="97"/>
      <c r="M54" s="37"/>
      <c r="N54" s="37"/>
      <c r="O54"/>
      <c r="AH54" s="20"/>
    </row>
    <row r="55" spans="1:35" ht="15.75" thickBot="1">
      <c r="A55" s="3"/>
      <c r="B55" s="277" t="s">
        <v>277</v>
      </c>
      <c r="C55" s="366">
        <v>15056.45</v>
      </c>
      <c r="D55" s="366">
        <v>12443.08</v>
      </c>
      <c r="E55" s="367">
        <f>+D55+C55</f>
        <v>27499.53</v>
      </c>
      <c r="F55" s="3"/>
      <c r="G55" s="489"/>
      <c r="H55" s="281"/>
      <c r="I55" s="98"/>
      <c r="J55" s="98"/>
      <c r="K55" s="98"/>
      <c r="L55" s="97"/>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0"/>
      <c r="E57" s="3"/>
      <c r="F57" s="3"/>
      <c r="G57" s="260"/>
      <c r="H57" s="3"/>
      <c r="I57" s="3"/>
      <c r="J57" s="3"/>
      <c r="K57" s="3"/>
      <c r="L57" s="3"/>
      <c r="M57" s="3"/>
    </row>
    <row r="58" spans="1:35" ht="18.75">
      <c r="A58" s="3"/>
      <c r="B58" s="90" t="s">
        <v>367</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59" t="s">
        <v>340</v>
      </c>
      <c r="C60" s="660"/>
      <c r="D60" s="661"/>
      <c r="E60" s="3"/>
      <c r="F60" s="3"/>
      <c r="G60" s="3"/>
      <c r="H60" s="3"/>
      <c r="I60" s="3"/>
      <c r="J60" s="3"/>
      <c r="K60" s="3"/>
      <c r="L60" s="3"/>
      <c r="M60" s="36"/>
      <c r="O60"/>
    </row>
    <row r="61" spans="1:35">
      <c r="A61" s="3"/>
      <c r="B61" s="102"/>
      <c r="C61" s="283" t="s">
        <v>67</v>
      </c>
      <c r="D61" s="284" t="s">
        <v>68</v>
      </c>
      <c r="E61" s="3"/>
      <c r="F61" s="3"/>
      <c r="G61" s="3"/>
      <c r="H61" s="3"/>
      <c r="I61" s="3"/>
      <c r="J61" s="3"/>
      <c r="K61" s="3"/>
      <c r="L61" s="3"/>
      <c r="M61" s="36"/>
      <c r="O61"/>
    </row>
    <row r="62" spans="1:35" ht="15.75">
      <c r="A62" s="3"/>
      <c r="B62" s="103" t="s">
        <v>6</v>
      </c>
      <c r="C62" s="346">
        <v>60</v>
      </c>
      <c r="D62" s="347"/>
      <c r="E62" s="3" t="s">
        <v>401</v>
      </c>
      <c r="F62" s="3"/>
      <c r="G62" s="3"/>
      <c r="H62" s="502"/>
      <c r="I62" s="3"/>
      <c r="J62" s="3"/>
      <c r="K62" s="3"/>
      <c r="L62" s="3"/>
      <c r="M62" s="36"/>
      <c r="O62"/>
    </row>
    <row r="63" spans="1:35">
      <c r="A63" s="3"/>
      <c r="B63" s="282" t="s">
        <v>351</v>
      </c>
      <c r="C63" s="346">
        <v>45</v>
      </c>
      <c r="D63" s="347">
        <v>34</v>
      </c>
      <c r="E63" s="3" t="s">
        <v>402</v>
      </c>
      <c r="F63" s="3"/>
      <c r="G63" s="3"/>
      <c r="H63" s="280"/>
      <c r="I63" s="280"/>
      <c r="J63" s="3"/>
      <c r="K63" s="3"/>
      <c r="L63" s="3"/>
      <c r="M63" s="36"/>
      <c r="O63"/>
    </row>
    <row r="64" spans="1:35" ht="15.75" thickBot="1">
      <c r="A64" s="3"/>
      <c r="B64" s="104" t="s">
        <v>352</v>
      </c>
      <c r="C64" s="348">
        <v>30</v>
      </c>
      <c r="D64" s="349">
        <v>28</v>
      </c>
      <c r="E64" s="461" t="s">
        <v>403</v>
      </c>
      <c r="F64" s="3"/>
      <c r="G64" s="3"/>
      <c r="H64" s="280"/>
      <c r="I64" s="280"/>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392"/>
      <c r="M66" s="3"/>
      <c r="AC66" s="19"/>
      <c r="AD66" s="19"/>
    </row>
    <row r="67" spans="1:30" ht="19.5" thickBot="1">
      <c r="A67" s="3"/>
      <c r="B67" s="105" t="s">
        <v>270</v>
      </c>
      <c r="C67" s="106"/>
      <c r="D67" s="106"/>
      <c r="E67" s="106"/>
      <c r="F67" s="106"/>
      <c r="G67" s="106"/>
      <c r="H67" s="305" t="s">
        <v>308</v>
      </c>
      <c r="I67" s="106"/>
      <c r="J67" s="107"/>
      <c r="K67" s="107"/>
      <c r="L67" s="393"/>
      <c r="M67" s="394"/>
      <c r="N67" s="84"/>
      <c r="O67" s="84"/>
      <c r="P67" s="84"/>
      <c r="S67" s="44"/>
      <c r="AC67" s="19"/>
      <c r="AD67" s="19"/>
    </row>
    <row r="68" spans="1:30" ht="18.75">
      <c r="A68" s="3"/>
      <c r="B68" s="109"/>
      <c r="C68" s="108"/>
      <c r="D68" s="108"/>
      <c r="E68" s="108"/>
      <c r="F68" s="108"/>
      <c r="G68" s="108"/>
      <c r="H68" s="108"/>
      <c r="I68" s="108"/>
      <c r="J68" s="108"/>
      <c r="K68" s="110"/>
      <c r="L68" s="110"/>
      <c r="M68" s="108"/>
      <c r="N68" s="84"/>
      <c r="O68" s="84"/>
      <c r="P68" s="84"/>
      <c r="S68" s="44"/>
      <c r="AC68" s="19"/>
      <c r="AD68" s="19"/>
    </row>
    <row r="69" spans="1:30" ht="18.75">
      <c r="A69" s="3"/>
      <c r="B69" s="109" t="s">
        <v>368</v>
      </c>
      <c r="C69" s="108"/>
      <c r="D69" s="108"/>
      <c r="E69" s="108"/>
      <c r="F69" s="108"/>
      <c r="G69" s="108"/>
      <c r="H69" s="108"/>
      <c r="I69" s="108"/>
      <c r="J69" s="108"/>
      <c r="K69" s="110"/>
      <c r="L69" s="110"/>
      <c r="M69" s="108"/>
      <c r="N69" s="84"/>
      <c r="O69" s="84"/>
      <c r="P69" s="84"/>
      <c r="S69" s="44"/>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30" ht="45">
      <c r="A71" s="3"/>
      <c r="B71" s="665"/>
      <c r="C71" s="666"/>
      <c r="D71" s="113" t="s">
        <v>124</v>
      </c>
      <c r="E71" s="114" t="s">
        <v>301</v>
      </c>
      <c r="F71" s="114" t="s">
        <v>125</v>
      </c>
      <c r="G71" s="115" t="s">
        <v>66</v>
      </c>
      <c r="H71" s="292"/>
      <c r="I71" s="293"/>
      <c r="J71" s="15"/>
      <c r="K71" s="2"/>
      <c r="L71" s="2"/>
      <c r="M71" s="2"/>
      <c r="N71" s="20"/>
      <c r="O71" s="19"/>
      <c r="P71" s="19"/>
      <c r="Q71" s="19"/>
      <c r="R71" s="19"/>
      <c r="S71" s="19"/>
    </row>
    <row r="72" spans="1:30">
      <c r="A72" s="3"/>
      <c r="B72" s="621" t="s">
        <v>432</v>
      </c>
      <c r="C72" s="622"/>
      <c r="D72" s="246">
        <v>2</v>
      </c>
      <c r="E72" s="246">
        <v>0</v>
      </c>
      <c r="F72" s="246">
        <v>0</v>
      </c>
      <c r="G72" s="117">
        <f>SUM(D72:F72)</f>
        <v>2</v>
      </c>
      <c r="H72" s="274"/>
      <c r="I72" s="291"/>
      <c r="J72" s="291"/>
      <c r="K72" s="2"/>
      <c r="L72" s="2"/>
      <c r="M72" s="2"/>
      <c r="N72" s="20"/>
      <c r="O72" s="19"/>
      <c r="P72" s="19"/>
      <c r="Q72" s="19"/>
      <c r="R72" s="19"/>
      <c r="S72" s="19"/>
    </row>
    <row r="73" spans="1:30" ht="15.75" thickBot="1">
      <c r="A73" s="3"/>
      <c r="B73" s="643" t="s">
        <v>18</v>
      </c>
      <c r="C73" s="644"/>
      <c r="D73" s="247">
        <v>2</v>
      </c>
      <c r="E73" s="247">
        <v>0</v>
      </c>
      <c r="F73" s="247">
        <v>0</v>
      </c>
      <c r="G73" s="119">
        <f>SUM(D73:F73)</f>
        <v>2</v>
      </c>
      <c r="H73" s="274"/>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9" t="s">
        <v>369</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112" t="s">
        <v>70</v>
      </c>
      <c r="D78" s="112" t="s">
        <v>88</v>
      </c>
      <c r="E78" s="121" t="s">
        <v>71</v>
      </c>
      <c r="F78" s="15"/>
      <c r="G78" s="15"/>
      <c r="H78" s="15"/>
      <c r="I78" s="293"/>
      <c r="J78" s="2"/>
      <c r="K78" s="2"/>
      <c r="L78" s="2"/>
      <c r="M78" s="2"/>
      <c r="N78" s="19"/>
      <c r="O78" s="19"/>
      <c r="P78" s="19"/>
      <c r="S78" s="19"/>
    </row>
    <row r="79" spans="1:30" ht="15.75" thickBot="1">
      <c r="A79" s="3"/>
      <c r="B79" s="122" t="s">
        <v>409</v>
      </c>
      <c r="C79" s="335">
        <v>12</v>
      </c>
      <c r="D79" s="335">
        <v>12</v>
      </c>
      <c r="E79" s="336">
        <v>0</v>
      </c>
      <c r="F79" s="251"/>
      <c r="G79" s="256"/>
      <c r="H79" s="15"/>
      <c r="I79" s="291"/>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9" t="s">
        <v>373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112" t="s">
        <v>297</v>
      </c>
      <c r="D83" s="112" t="s">
        <v>74</v>
      </c>
      <c r="E83" s="112" t="s">
        <v>89</v>
      </c>
      <c r="F83" s="112" t="s">
        <v>75</v>
      </c>
      <c r="G83" s="150" t="s">
        <v>126</v>
      </c>
      <c r="H83" s="257"/>
      <c r="I83" s="293"/>
      <c r="J83" s="2"/>
      <c r="K83" s="2"/>
      <c r="L83" s="2"/>
      <c r="M83" s="2"/>
      <c r="N83" s="19"/>
      <c r="O83" s="19"/>
      <c r="P83" s="19"/>
      <c r="S83" s="19"/>
    </row>
    <row r="84" spans="1:36" ht="15.75" thickBot="1">
      <c r="A84" s="3"/>
      <c r="B84" s="122" t="s">
        <v>134</v>
      </c>
      <c r="C84" s="335">
        <v>1</v>
      </c>
      <c r="D84" s="335">
        <v>1</v>
      </c>
      <c r="E84" s="335">
        <v>1</v>
      </c>
      <c r="F84" s="335">
        <v>1</v>
      </c>
      <c r="G84" s="337">
        <v>1</v>
      </c>
      <c r="H84" s="294"/>
      <c r="I84" s="274"/>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9" t="s">
        <v>406</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72</v>
      </c>
      <c r="D88" s="123" t="s">
        <v>73</v>
      </c>
      <c r="E88" s="124" t="s">
        <v>294</v>
      </c>
      <c r="F88" s="2"/>
      <c r="G88" s="2"/>
      <c r="H88" s="2"/>
      <c r="I88" s="2"/>
      <c r="J88" s="19"/>
      <c r="K88" s="19"/>
      <c r="L88" s="19"/>
      <c r="N88"/>
      <c r="O88" s="19"/>
      <c r="AG88" s="36"/>
      <c r="AJ88"/>
    </row>
    <row r="89" spans="1:36">
      <c r="A89" s="3"/>
      <c r="B89" s="116" t="s">
        <v>374</v>
      </c>
      <c r="C89" s="246">
        <v>0</v>
      </c>
      <c r="D89" s="248">
        <v>0</v>
      </c>
      <c r="E89" s="295">
        <f>C89-D89</f>
        <v>0</v>
      </c>
      <c r="F89" s="2"/>
      <c r="G89" s="2"/>
      <c r="H89" s="2"/>
      <c r="I89" s="2"/>
      <c r="J89" s="19"/>
      <c r="K89" s="19"/>
      <c r="L89" s="19"/>
      <c r="N89"/>
      <c r="O89" s="19"/>
      <c r="AG89" s="36"/>
      <c r="AJ89"/>
    </row>
    <row r="90" spans="1:36" ht="15.75" thickBot="1">
      <c r="A90" s="3"/>
      <c r="B90" s="118" t="s">
        <v>375</v>
      </c>
      <c r="C90" s="247">
        <v>1</v>
      </c>
      <c r="D90" s="296">
        <v>1</v>
      </c>
      <c r="E90" s="295">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09" t="s">
        <v>376</v>
      </c>
      <c r="C92" s="2"/>
      <c r="D92" s="2"/>
      <c r="E92" s="2"/>
      <c r="F92" s="2"/>
      <c r="G92" s="2"/>
      <c r="H92" s="2"/>
      <c r="I92" s="2"/>
      <c r="J92" s="2"/>
      <c r="K92" s="2"/>
      <c r="L92" s="2"/>
      <c r="M92" s="2"/>
      <c r="N92" s="19"/>
      <c r="O92" s="19"/>
      <c r="P92" s="19"/>
      <c r="S92" s="19"/>
    </row>
    <row r="93" spans="1:36" ht="15.75" thickBot="1">
      <c r="A93" s="3"/>
      <c r="B93" s="2"/>
      <c r="C93" s="425" t="str">
        <f t="shared" ref="C93:L93" si="3">C28</f>
        <v>Jul-Sep 2015</v>
      </c>
      <c r="D93" s="425" t="str">
        <f t="shared" si="3"/>
        <v>Oct-Dec 2015</v>
      </c>
      <c r="E93" s="425" t="str">
        <f t="shared" si="3"/>
        <v>Jan-Mar 2016</v>
      </c>
      <c r="F93" s="425" t="str">
        <f t="shared" si="3"/>
        <v>Apr-Jun 2016</v>
      </c>
      <c r="G93" s="425" t="str">
        <f t="shared" si="3"/>
        <v>July-Sep 2016</v>
      </c>
      <c r="H93" s="425" t="str">
        <f t="shared" si="3"/>
        <v>Oct-Dec 2016</v>
      </c>
      <c r="I93" s="425" t="str">
        <f t="shared" si="3"/>
        <v>Jan-Mar 2017</v>
      </c>
      <c r="J93" s="425" t="str">
        <f t="shared" si="3"/>
        <v>Apr-Jun 2017</v>
      </c>
      <c r="K93" s="425" t="str">
        <f t="shared" si="3"/>
        <v>July-Sep 2017</v>
      </c>
      <c r="L93" s="2" t="str">
        <f t="shared" si="3"/>
        <v>Oct-Dec 2017</v>
      </c>
      <c r="M93" s="15"/>
      <c r="N93" s="20"/>
      <c r="O93" s="20"/>
      <c r="P93" s="20"/>
      <c r="S93" s="19"/>
    </row>
    <row r="94" spans="1:36">
      <c r="A94" s="3"/>
      <c r="B94" s="220"/>
      <c r="C94" s="476" t="str">
        <f>C30</f>
        <v>P1</v>
      </c>
      <c r="D94" s="476" t="str">
        <f t="shared" ref="D94:N94" si="4">D30</f>
        <v>P2</v>
      </c>
      <c r="E94" s="476" t="str">
        <f t="shared" si="4"/>
        <v>P3</v>
      </c>
      <c r="F94" s="476" t="str">
        <f t="shared" si="4"/>
        <v>P4</v>
      </c>
      <c r="G94" s="476" t="str">
        <f t="shared" si="4"/>
        <v>P5</v>
      </c>
      <c r="H94" s="476" t="str">
        <f t="shared" si="4"/>
        <v>P6</v>
      </c>
      <c r="I94" s="476" t="str">
        <f t="shared" si="4"/>
        <v>P7</v>
      </c>
      <c r="J94" s="476" t="str">
        <f t="shared" si="4"/>
        <v>P8</v>
      </c>
      <c r="K94" s="476" t="str">
        <f t="shared" si="4"/>
        <v>P9</v>
      </c>
      <c r="L94" s="476" t="str">
        <f t="shared" si="4"/>
        <v>P10</v>
      </c>
      <c r="M94" s="476" t="str">
        <f t="shared" si="4"/>
        <v>P11</v>
      </c>
      <c r="N94" s="476" t="str">
        <f t="shared" si="4"/>
        <v>P12</v>
      </c>
      <c r="O94" s="20"/>
      <c r="P94" s="20"/>
      <c r="S94" s="19"/>
    </row>
    <row r="95" spans="1:36" ht="15" customHeight="1">
      <c r="A95" s="3"/>
      <c r="B95" s="353" t="s">
        <v>355</v>
      </c>
      <c r="C95" s="338"/>
      <c r="D95" s="338"/>
      <c r="E95" s="338"/>
      <c r="F95" s="338"/>
      <c r="G95" s="338"/>
      <c r="H95" s="338"/>
      <c r="I95" s="338"/>
      <c r="J95" s="338"/>
      <c r="K95" s="338"/>
      <c r="L95" s="338"/>
      <c r="M95" s="338"/>
      <c r="N95" s="338"/>
      <c r="O95" s="20"/>
      <c r="P95" s="20"/>
      <c r="S95" s="19"/>
    </row>
    <row r="96" spans="1:36" ht="15" customHeight="1">
      <c r="A96" s="3"/>
      <c r="B96" s="353" t="s">
        <v>353</v>
      </c>
      <c r="C96" s="338"/>
      <c r="D96" s="338"/>
      <c r="E96" s="338"/>
      <c r="F96" s="338"/>
      <c r="G96" s="338"/>
      <c r="H96" s="338"/>
      <c r="I96" s="338"/>
      <c r="J96" s="338"/>
      <c r="K96" s="338"/>
      <c r="L96" s="338"/>
      <c r="M96" s="338"/>
      <c r="N96" s="338"/>
      <c r="O96" s="20"/>
      <c r="P96" s="20"/>
      <c r="S96" s="19"/>
    </row>
    <row r="97" spans="1:19" ht="15" customHeight="1">
      <c r="A97" s="3"/>
      <c r="B97" s="353" t="s">
        <v>316</v>
      </c>
      <c r="C97" s="338"/>
      <c r="D97" s="338"/>
      <c r="E97" s="338"/>
      <c r="F97" s="338"/>
      <c r="G97" s="338"/>
      <c r="H97" s="338"/>
      <c r="I97" s="338"/>
      <c r="J97" s="338"/>
      <c r="K97" s="338"/>
      <c r="L97" s="338"/>
      <c r="M97" s="338"/>
      <c r="N97" s="338"/>
      <c r="O97" s="20"/>
      <c r="P97" s="20"/>
      <c r="S97" s="19"/>
    </row>
    <row r="98" spans="1:19" ht="15" customHeight="1">
      <c r="A98" s="3"/>
      <c r="B98" s="297" t="s">
        <v>355</v>
      </c>
      <c r="C98" s="339">
        <f>+C95</f>
        <v>0</v>
      </c>
      <c r="D98" s="339">
        <f t="shared" ref="D98:N98" si="5">+C98+D95</f>
        <v>0</v>
      </c>
      <c r="E98" s="339">
        <f>+D98+E95</f>
        <v>0</v>
      </c>
      <c r="F98" s="339">
        <f t="shared" si="5"/>
        <v>0</v>
      </c>
      <c r="G98" s="339">
        <f t="shared" si="5"/>
        <v>0</v>
      </c>
      <c r="H98" s="339">
        <f t="shared" si="5"/>
        <v>0</v>
      </c>
      <c r="I98" s="339">
        <f t="shared" si="5"/>
        <v>0</v>
      </c>
      <c r="J98" s="339">
        <f t="shared" si="5"/>
        <v>0</v>
      </c>
      <c r="K98" s="339">
        <f t="shared" si="5"/>
        <v>0</v>
      </c>
      <c r="L98" s="339">
        <f t="shared" si="5"/>
        <v>0</v>
      </c>
      <c r="M98" s="339">
        <f t="shared" si="5"/>
        <v>0</v>
      </c>
      <c r="N98" s="339">
        <f t="shared" si="5"/>
        <v>0</v>
      </c>
      <c r="O98" s="20"/>
      <c r="P98" s="20"/>
      <c r="S98" s="19"/>
    </row>
    <row r="99" spans="1:19" ht="15" customHeight="1">
      <c r="A99" s="3"/>
      <c r="B99" s="297" t="s">
        <v>10</v>
      </c>
      <c r="C99" s="339">
        <f>+C96</f>
        <v>0</v>
      </c>
      <c r="D99" s="339">
        <f t="shared" ref="D99:N99" si="6">+C99+D96</f>
        <v>0</v>
      </c>
      <c r="E99" s="339">
        <f>+D99+E96</f>
        <v>0</v>
      </c>
      <c r="F99" s="339">
        <f t="shared" si="6"/>
        <v>0</v>
      </c>
      <c r="G99" s="339">
        <f t="shared" si="6"/>
        <v>0</v>
      </c>
      <c r="H99" s="339">
        <f t="shared" si="6"/>
        <v>0</v>
      </c>
      <c r="I99" s="339">
        <f t="shared" si="6"/>
        <v>0</v>
      </c>
      <c r="J99" s="339">
        <f t="shared" si="6"/>
        <v>0</v>
      </c>
      <c r="K99" s="339">
        <f t="shared" si="6"/>
        <v>0</v>
      </c>
      <c r="L99" s="339">
        <f t="shared" si="6"/>
        <v>0</v>
      </c>
      <c r="M99" s="339">
        <f t="shared" si="6"/>
        <v>0</v>
      </c>
      <c r="N99" s="339">
        <f t="shared" si="6"/>
        <v>0</v>
      </c>
      <c r="O99" s="20"/>
      <c r="P99" s="20"/>
      <c r="S99" s="19"/>
    </row>
    <row r="100" spans="1:19">
      <c r="A100" s="3"/>
      <c r="B100" s="298" t="s">
        <v>11</v>
      </c>
      <c r="C100" s="340">
        <f>+C97</f>
        <v>0</v>
      </c>
      <c r="D100" s="339">
        <f t="shared" ref="D100:N100" si="7">+C100+D97</f>
        <v>0</v>
      </c>
      <c r="E100" s="339">
        <f>+D100+E97</f>
        <v>0</v>
      </c>
      <c r="F100" s="339">
        <f t="shared" si="7"/>
        <v>0</v>
      </c>
      <c r="G100" s="339">
        <f t="shared" si="7"/>
        <v>0</v>
      </c>
      <c r="H100" s="339">
        <f t="shared" si="7"/>
        <v>0</v>
      </c>
      <c r="I100" s="339">
        <f t="shared" si="7"/>
        <v>0</v>
      </c>
      <c r="J100" s="339">
        <f t="shared" si="7"/>
        <v>0</v>
      </c>
      <c r="K100" s="339">
        <f t="shared" si="7"/>
        <v>0</v>
      </c>
      <c r="L100" s="339">
        <f t="shared" si="7"/>
        <v>0</v>
      </c>
      <c r="M100" s="339">
        <f t="shared" si="7"/>
        <v>0</v>
      </c>
      <c r="N100" s="339">
        <f t="shared" si="7"/>
        <v>0</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385</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9" t="s">
        <v>370</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81.75" customHeight="1">
      <c r="A107" s="3"/>
      <c r="B107" s="299" t="s">
        <v>40</v>
      </c>
      <c r="C107" s="300" t="s">
        <v>86</v>
      </c>
      <c r="D107" s="301" t="s">
        <v>434</v>
      </c>
      <c r="E107" s="301" t="s">
        <v>435</v>
      </c>
      <c r="F107" s="301" t="s">
        <v>436</v>
      </c>
      <c r="G107" s="301" t="s">
        <v>437</v>
      </c>
      <c r="H107" s="301" t="s">
        <v>404</v>
      </c>
      <c r="I107" s="301" t="s">
        <v>433</v>
      </c>
      <c r="J107" s="301" t="s">
        <v>336</v>
      </c>
      <c r="K107" s="470" t="s">
        <v>405</v>
      </c>
      <c r="L107" s="2"/>
      <c r="M107" s="20"/>
      <c r="N107" s="20"/>
      <c r="O107" s="20"/>
      <c r="P107" s="19"/>
      <c r="R107" s="20"/>
    </row>
    <row r="108" spans="1:19">
      <c r="A108" s="3"/>
      <c r="B108" s="667" t="s">
        <v>35</v>
      </c>
      <c r="C108" s="383" t="s">
        <v>428</v>
      </c>
      <c r="D108" s="384"/>
      <c r="E108" s="385"/>
      <c r="F108" s="341"/>
      <c r="G108" s="342"/>
      <c r="H108" s="341"/>
      <c r="I108" s="400"/>
      <c r="J108" s="386"/>
      <c r="K108" s="401"/>
      <c r="L108" s="2"/>
      <c r="M108" s="20"/>
      <c r="N108" s="20"/>
      <c r="O108" s="20"/>
      <c r="P108" s="19"/>
      <c r="R108" s="20"/>
    </row>
    <row r="109" spans="1:19">
      <c r="A109" s="3"/>
      <c r="B109" s="668"/>
      <c r="C109" s="383" t="s">
        <v>429</v>
      </c>
      <c r="D109" s="494">
        <v>0.04</v>
      </c>
      <c r="E109" s="495">
        <v>0.16</v>
      </c>
      <c r="F109" s="341">
        <v>2387.16</v>
      </c>
      <c r="G109" s="342">
        <v>381.92</v>
      </c>
      <c r="H109" s="341">
        <v>0</v>
      </c>
      <c r="I109" s="400">
        <f>H109/G109</f>
        <v>0</v>
      </c>
      <c r="J109" s="386" t="s">
        <v>460</v>
      </c>
      <c r="K109" s="401">
        <v>-12</v>
      </c>
      <c r="L109" s="2"/>
      <c r="M109" s="20"/>
      <c r="N109" s="20"/>
      <c r="O109" s="20"/>
      <c r="P109" s="19"/>
    </row>
    <row r="110" spans="1:19">
      <c r="A110" s="3"/>
      <c r="B110" s="668"/>
      <c r="C110" s="383" t="s">
        <v>430</v>
      </c>
      <c r="D110" s="384">
        <v>7.6999999999999996E-4</v>
      </c>
      <c r="E110" s="495">
        <v>3.0799999999999998E-3</v>
      </c>
      <c r="F110" s="341">
        <v>47.75</v>
      </c>
      <c r="G110" s="342">
        <v>0.14699999999999999</v>
      </c>
      <c r="H110" s="341">
        <v>0</v>
      </c>
      <c r="I110" s="493">
        <v>0</v>
      </c>
      <c r="J110" s="386" t="s">
        <v>460</v>
      </c>
      <c r="K110" s="401">
        <v>-12</v>
      </c>
      <c r="L110" s="2"/>
      <c r="M110" s="20"/>
      <c r="N110" s="20"/>
      <c r="O110" s="20"/>
      <c r="P110" s="19"/>
      <c r="R110" s="20"/>
    </row>
    <row r="111" spans="1:19" ht="15.75" thickBot="1">
      <c r="A111" s="3"/>
      <c r="B111" s="669"/>
      <c r="C111" s="387"/>
      <c r="D111" s="388"/>
      <c r="E111" s="385" t="str">
        <f>IF(ISBLANK(D111),"",D111*4)</f>
        <v/>
      </c>
      <c r="F111" s="343"/>
      <c r="G111" s="342" t="str">
        <f>IF(AND(E111&gt;0,F111&gt;0),(F111*E111),"")</f>
        <v/>
      </c>
      <c r="H111" s="343"/>
      <c r="I111" s="400" t="str">
        <f>IF(AND(G111&gt;0,H111&gt;0),H111/G111,"")</f>
        <v/>
      </c>
      <c r="J111" s="389"/>
      <c r="K111" s="401"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R112" s="36"/>
      <c r="S112" s="20"/>
    </row>
    <row r="113" spans="1:20" ht="15.75" thickBot="1">
      <c r="A113" s="3"/>
      <c r="B113" s="3"/>
      <c r="C113" s="3"/>
      <c r="D113" s="3"/>
      <c r="E113" s="3"/>
      <c r="F113" s="3"/>
      <c r="G113" s="3"/>
      <c r="H113" s="3"/>
      <c r="I113" s="2"/>
      <c r="J113" s="108"/>
      <c r="K113" s="108"/>
      <c r="L113" s="3"/>
      <c r="M113" s="3"/>
    </row>
    <row r="114" spans="1:20" ht="19.5" thickBot="1">
      <c r="A114" s="3"/>
      <c r="B114" s="235" t="s">
        <v>377</v>
      </c>
      <c r="C114" s="128"/>
      <c r="D114" s="128"/>
      <c r="E114" s="129"/>
      <c r="F114" s="129"/>
      <c r="G114" s="129"/>
      <c r="H114" s="244"/>
      <c r="I114" s="236"/>
      <c r="J114" s="321"/>
      <c r="K114" s="322" t="s">
        <v>358</v>
      </c>
      <c r="L114" s="129"/>
      <c r="M114" s="323"/>
      <c r="N114" s="324"/>
      <c r="O114" s="324"/>
      <c r="P114" s="391"/>
      <c r="Q114" s="36"/>
    </row>
    <row r="115" spans="1:20" ht="15.75" thickBot="1">
      <c r="A115" s="3"/>
      <c r="B115" s="3"/>
      <c r="C115" s="3"/>
      <c r="D115" s="3"/>
      <c r="E115" s="3"/>
      <c r="F115" s="3"/>
      <c r="G115" s="3"/>
      <c r="H115" s="3" t="s">
        <v>455</v>
      </c>
      <c r="I115" s="426" t="s">
        <v>439</v>
      </c>
      <c r="J115" s="426" t="s">
        <v>447</v>
      </c>
      <c r="K115" s="426" t="s">
        <v>448</v>
      </c>
      <c r="L115" s="426" t="s">
        <v>449</v>
      </c>
      <c r="M115" s="426" t="s">
        <v>450</v>
      </c>
      <c r="N115" s="426" t="s">
        <v>451</v>
      </c>
      <c r="O115" s="426" t="s">
        <v>452</v>
      </c>
      <c r="P115" s="426" t="s">
        <v>456</v>
      </c>
      <c r="Q115" s="426" t="s">
        <v>454</v>
      </c>
      <c r="R115" s="426"/>
      <c r="S115" s="426"/>
    </row>
    <row r="116" spans="1:20">
      <c r="A116" s="3"/>
      <c r="B116" s="647" t="s">
        <v>380</v>
      </c>
      <c r="C116" s="648"/>
      <c r="D116" s="649"/>
      <c r="E116" s="304" t="s">
        <v>329</v>
      </c>
      <c r="F116" s="263" t="s">
        <v>338</v>
      </c>
      <c r="G116" s="239"/>
      <c r="H116" s="477" t="s">
        <v>112</v>
      </c>
      <c r="I116" s="477" t="s">
        <v>113</v>
      </c>
      <c r="J116" s="477" t="s">
        <v>114</v>
      </c>
      <c r="K116" s="477" t="s">
        <v>115</v>
      </c>
      <c r="L116" s="477" t="s">
        <v>127</v>
      </c>
      <c r="M116" s="477" t="s">
        <v>128</v>
      </c>
      <c r="N116" s="477" t="s">
        <v>129</v>
      </c>
      <c r="O116" s="477" t="s">
        <v>130</v>
      </c>
      <c r="P116" s="477" t="s">
        <v>131</v>
      </c>
      <c r="Q116" s="477" t="s">
        <v>132</v>
      </c>
      <c r="R116" s="477" t="s">
        <v>133</v>
      </c>
      <c r="S116" s="477" t="s">
        <v>293</v>
      </c>
      <c r="T116" s="64"/>
    </row>
    <row r="117" spans="1:20" ht="1.5" customHeight="1">
      <c r="A117" s="3"/>
      <c r="B117" s="417"/>
      <c r="C117" s="418"/>
      <c r="D117" s="418"/>
      <c r="E117" s="419"/>
      <c r="F117" s="420"/>
      <c r="G117" s="421"/>
      <c r="H117" s="422"/>
      <c r="I117" s="422"/>
      <c r="J117" s="422"/>
      <c r="K117" s="422"/>
      <c r="L117" s="422"/>
      <c r="M117" s="422"/>
      <c r="N117" s="422"/>
      <c r="O117" s="422"/>
      <c r="P117" s="422"/>
      <c r="Q117" s="422"/>
      <c r="R117" s="422"/>
      <c r="S117" s="423"/>
      <c r="T117" s="64"/>
    </row>
    <row r="118" spans="1:20" ht="15" customHeight="1">
      <c r="A118" s="620"/>
      <c r="B118" s="655" t="s">
        <v>444</v>
      </c>
      <c r="C118" s="656"/>
      <c r="D118" s="657"/>
      <c r="E118" s="645"/>
      <c r="F118" s="650" t="s">
        <v>121</v>
      </c>
      <c r="G118" s="241" t="s">
        <v>92</v>
      </c>
      <c r="H118" s="507">
        <v>6199</v>
      </c>
      <c r="I118" s="259">
        <v>6199</v>
      </c>
      <c r="J118" s="259"/>
      <c r="K118" s="259"/>
      <c r="L118" s="259"/>
      <c r="M118" s="259"/>
      <c r="N118" s="259"/>
      <c r="O118" s="259"/>
      <c r="P118" s="237"/>
      <c r="Q118" s="237"/>
      <c r="R118" s="237"/>
      <c r="S118" s="237"/>
      <c r="T118" s="456" t="str">
        <f t="shared" ref="T118:T137" si="8">G118</f>
        <v>Target</v>
      </c>
    </row>
    <row r="119" spans="1:20">
      <c r="A119" s="620"/>
      <c r="B119" s="658"/>
      <c r="C119" s="656"/>
      <c r="D119" s="657"/>
      <c r="E119" s="646"/>
      <c r="F119" s="651"/>
      <c r="G119" s="241" t="s">
        <v>93</v>
      </c>
      <c r="H119" s="259">
        <v>809</v>
      </c>
      <c r="I119" s="259">
        <v>9171</v>
      </c>
      <c r="J119" s="259"/>
      <c r="K119" s="259"/>
      <c r="L119" s="259"/>
      <c r="M119" s="259"/>
      <c r="N119" s="259"/>
      <c r="O119" s="259"/>
      <c r="P119" s="237"/>
      <c r="Q119" s="505"/>
      <c r="R119" s="237"/>
      <c r="S119" s="237"/>
      <c r="T119" s="456" t="str">
        <f t="shared" si="8"/>
        <v xml:space="preserve">Achieved </v>
      </c>
    </row>
    <row r="120" spans="1:20" ht="15" customHeight="1">
      <c r="A120" s="620"/>
      <c r="B120" s="626" t="s">
        <v>445</v>
      </c>
      <c r="C120" s="627"/>
      <c r="D120" s="628"/>
      <c r="E120" s="630"/>
      <c r="F120" s="631" t="s">
        <v>121</v>
      </c>
      <c r="G120" s="240" t="s">
        <v>92</v>
      </c>
      <c r="H120" s="500">
        <v>7571</v>
      </c>
      <c r="I120" s="500">
        <v>7571</v>
      </c>
      <c r="J120" s="500"/>
      <c r="K120" s="500"/>
      <c r="L120" s="500"/>
      <c r="M120" s="500"/>
      <c r="N120" s="500"/>
      <c r="O120" s="500"/>
      <c r="P120" s="478"/>
      <c r="Q120" s="506"/>
      <c r="R120" s="478"/>
      <c r="S120" s="478"/>
      <c r="T120" s="457" t="str">
        <f t="shared" si="8"/>
        <v>Target</v>
      </c>
    </row>
    <row r="121" spans="1:20">
      <c r="A121" s="620"/>
      <c r="B121" s="629"/>
      <c r="C121" s="627"/>
      <c r="D121" s="628"/>
      <c r="E121" s="630"/>
      <c r="F121" s="631"/>
      <c r="G121" s="240" t="s">
        <v>93</v>
      </c>
      <c r="H121" s="500">
        <v>1562</v>
      </c>
      <c r="I121" s="500">
        <v>7039</v>
      </c>
      <c r="J121" s="500"/>
      <c r="K121" s="500"/>
      <c r="L121" s="500"/>
      <c r="M121" s="500"/>
      <c r="N121" s="500"/>
      <c r="O121" s="500"/>
      <c r="P121" s="478"/>
      <c r="Q121" s="506"/>
      <c r="R121" s="478"/>
      <c r="S121" s="478"/>
      <c r="T121" s="457" t="str">
        <f t="shared" si="8"/>
        <v xml:space="preserve">Achieved </v>
      </c>
    </row>
    <row r="122" spans="1:20" ht="15" customHeight="1">
      <c r="A122" s="620"/>
      <c r="B122" s="635"/>
      <c r="C122" s="636"/>
      <c r="D122" s="637"/>
      <c r="E122" s="645"/>
      <c r="F122" s="650"/>
      <c r="G122" s="241" t="s">
        <v>92</v>
      </c>
      <c r="H122" s="259"/>
      <c r="I122" s="259"/>
      <c r="J122" s="259"/>
      <c r="K122" s="259"/>
      <c r="L122" s="259"/>
      <c r="M122" s="259"/>
      <c r="N122" s="259"/>
      <c r="O122" s="259"/>
      <c r="P122" s="237"/>
      <c r="Q122" s="505"/>
      <c r="R122" s="237"/>
      <c r="S122" s="237"/>
      <c r="T122" s="456" t="str">
        <f t="shared" si="8"/>
        <v>Target</v>
      </c>
    </row>
    <row r="123" spans="1:20">
      <c r="A123" s="620"/>
      <c r="B123" s="638"/>
      <c r="C123" s="636"/>
      <c r="D123" s="637"/>
      <c r="E123" s="646"/>
      <c r="F123" s="651"/>
      <c r="G123" s="241" t="s">
        <v>93</v>
      </c>
      <c r="H123" s="259"/>
      <c r="I123" s="259"/>
      <c r="J123" s="259"/>
      <c r="K123" s="259"/>
      <c r="L123" s="259"/>
      <c r="M123" s="259"/>
      <c r="N123" s="259"/>
      <c r="O123" s="259"/>
      <c r="P123" s="237"/>
      <c r="Q123" s="237"/>
      <c r="R123" s="237"/>
      <c r="S123" s="237"/>
      <c r="T123" s="456" t="str">
        <f t="shared" si="8"/>
        <v xml:space="preserve">Achieved </v>
      </c>
    </row>
    <row r="124" spans="1:20" ht="15" customHeight="1">
      <c r="A124" s="620"/>
      <c r="B124" s="626"/>
      <c r="C124" s="627"/>
      <c r="D124" s="628"/>
      <c r="E124" s="630"/>
      <c r="F124" s="631"/>
      <c r="G124" s="240" t="s">
        <v>92</v>
      </c>
      <c r="H124" s="500"/>
      <c r="I124" s="500"/>
      <c r="J124" s="500"/>
      <c r="K124" s="500"/>
      <c r="L124" s="500"/>
      <c r="M124" s="500"/>
      <c r="N124" s="500"/>
      <c r="O124" s="500"/>
      <c r="P124" s="478"/>
      <c r="Q124" s="506"/>
      <c r="R124" s="478"/>
      <c r="S124" s="478"/>
      <c r="T124" s="457" t="str">
        <f t="shared" si="8"/>
        <v>Target</v>
      </c>
    </row>
    <row r="125" spans="1:20">
      <c r="A125" s="620"/>
      <c r="B125" s="629"/>
      <c r="C125" s="627"/>
      <c r="D125" s="628"/>
      <c r="E125" s="630"/>
      <c r="F125" s="631"/>
      <c r="G125" s="240" t="s">
        <v>93</v>
      </c>
      <c r="H125" s="500"/>
      <c r="I125" s="500"/>
      <c r="J125" s="500"/>
      <c r="K125" s="500"/>
      <c r="L125" s="500"/>
      <c r="M125" s="500"/>
      <c r="N125" s="500"/>
      <c r="O125" s="500"/>
      <c r="P125" s="478"/>
      <c r="Q125" s="506"/>
      <c r="R125" s="478"/>
      <c r="S125" s="478"/>
      <c r="T125" s="457" t="str">
        <f t="shared" si="8"/>
        <v xml:space="preserve">Achieved </v>
      </c>
    </row>
    <row r="126" spans="1:20" ht="15" customHeight="1">
      <c r="A126" s="3"/>
      <c r="B126" s="680"/>
      <c r="C126" s="681"/>
      <c r="D126" s="682"/>
      <c r="E126" s="646"/>
      <c r="F126" s="650"/>
      <c r="G126" s="241" t="s">
        <v>92</v>
      </c>
      <c r="H126" s="237"/>
      <c r="I126" s="237"/>
      <c r="J126" s="237"/>
      <c r="K126" s="259"/>
      <c r="L126" s="237"/>
      <c r="M126" s="237"/>
      <c r="N126" s="237"/>
      <c r="O126" s="237"/>
      <c r="P126" s="237"/>
      <c r="Q126" s="237"/>
      <c r="R126" s="237"/>
      <c r="S126" s="302"/>
      <c r="T126" s="456" t="str">
        <f t="shared" si="8"/>
        <v>Target</v>
      </c>
    </row>
    <row r="127" spans="1:20">
      <c r="A127" s="3"/>
      <c r="B127" s="683"/>
      <c r="C127" s="684"/>
      <c r="D127" s="685"/>
      <c r="E127" s="646"/>
      <c r="F127" s="651"/>
      <c r="G127" s="241" t="s">
        <v>93</v>
      </c>
      <c r="H127" s="237"/>
      <c r="I127" s="237"/>
      <c r="J127" s="237"/>
      <c r="K127" s="259"/>
      <c r="L127" s="237"/>
      <c r="M127" s="237"/>
      <c r="N127" s="237"/>
      <c r="O127" s="237"/>
      <c r="P127" s="237"/>
      <c r="Q127" s="237"/>
      <c r="R127" s="237"/>
      <c r="S127" s="302"/>
      <c r="T127" s="456" t="str">
        <f t="shared" si="8"/>
        <v xml:space="preserve">Achieved </v>
      </c>
    </row>
    <row r="128" spans="1:20" ht="15" customHeight="1">
      <c r="A128" s="3"/>
      <c r="B128" s="690"/>
      <c r="C128" s="691"/>
      <c r="D128" s="692"/>
      <c r="E128" s="630"/>
      <c r="F128" s="631"/>
      <c r="G128" s="240" t="s">
        <v>92</v>
      </c>
      <c r="H128" s="478"/>
      <c r="I128" s="478"/>
      <c r="J128" s="478"/>
      <c r="K128" s="478"/>
      <c r="L128" s="478"/>
      <c r="M128" s="478"/>
      <c r="N128" s="478"/>
      <c r="O128" s="478"/>
      <c r="P128" s="478"/>
      <c r="Q128" s="478"/>
      <c r="R128" s="478"/>
      <c r="S128" s="478"/>
      <c r="T128" s="457" t="str">
        <f t="shared" si="8"/>
        <v>Target</v>
      </c>
    </row>
    <row r="129" spans="1:21">
      <c r="A129" s="3"/>
      <c r="B129" s="693"/>
      <c r="C129" s="694"/>
      <c r="D129" s="695"/>
      <c r="E129" s="630"/>
      <c r="F129" s="631"/>
      <c r="G129" s="240" t="s">
        <v>93</v>
      </c>
      <c r="H129" s="478"/>
      <c r="I129" s="478"/>
      <c r="J129" s="478"/>
      <c r="K129" s="478"/>
      <c r="L129" s="478"/>
      <c r="M129" s="478"/>
      <c r="N129" s="478"/>
      <c r="O129" s="478"/>
      <c r="P129" s="478"/>
      <c r="Q129" s="478"/>
      <c r="R129" s="478"/>
      <c r="S129" s="478"/>
      <c r="T129" s="457" t="str">
        <f t="shared" si="8"/>
        <v xml:space="preserve">Achieved </v>
      </c>
    </row>
    <row r="130" spans="1:21">
      <c r="A130" s="3"/>
      <c r="B130" s="680"/>
      <c r="C130" s="681"/>
      <c r="D130" s="682"/>
      <c r="E130" s="646"/>
      <c r="F130" s="650"/>
      <c r="G130" s="241" t="s">
        <v>92</v>
      </c>
      <c r="H130" s="237"/>
      <c r="I130" s="237"/>
      <c r="J130" s="237"/>
      <c r="K130" s="259"/>
      <c r="L130" s="237"/>
      <c r="M130" s="237"/>
      <c r="N130" s="237"/>
      <c r="O130" s="237"/>
      <c r="P130" s="237"/>
      <c r="Q130" s="237"/>
      <c r="R130" s="237"/>
      <c r="S130" s="302"/>
      <c r="T130" s="456" t="str">
        <f t="shared" si="8"/>
        <v>Target</v>
      </c>
    </row>
    <row r="131" spans="1:21">
      <c r="A131" s="3"/>
      <c r="B131" s="683"/>
      <c r="C131" s="684"/>
      <c r="D131" s="685"/>
      <c r="E131" s="646"/>
      <c r="F131" s="651"/>
      <c r="G131" s="241" t="s">
        <v>93</v>
      </c>
      <c r="H131" s="237"/>
      <c r="I131" s="237"/>
      <c r="J131" s="237"/>
      <c r="K131" s="259"/>
      <c r="L131" s="237"/>
      <c r="M131" s="237"/>
      <c r="N131" s="237"/>
      <c r="O131" s="237"/>
      <c r="P131" s="237"/>
      <c r="Q131" s="237"/>
      <c r="R131" s="237"/>
      <c r="S131" s="302"/>
      <c r="T131" s="456" t="str">
        <f t="shared" si="8"/>
        <v xml:space="preserve">Achieved </v>
      </c>
    </row>
    <row r="132" spans="1:21" ht="14.25" customHeight="1">
      <c r="A132" s="3"/>
      <c r="B132" s="690"/>
      <c r="C132" s="691"/>
      <c r="D132" s="692"/>
      <c r="E132" s="630"/>
      <c r="F132" s="631"/>
      <c r="G132" s="240" t="s">
        <v>92</v>
      </c>
      <c r="H132" s="478"/>
      <c r="I132" s="478"/>
      <c r="J132" s="478"/>
      <c r="K132" s="478"/>
      <c r="L132" s="478"/>
      <c r="M132" s="478"/>
      <c r="N132" s="478"/>
      <c r="O132" s="478"/>
      <c r="P132" s="478"/>
      <c r="Q132" s="478"/>
      <c r="R132" s="478"/>
      <c r="S132" s="478"/>
      <c r="T132" s="457" t="str">
        <f t="shared" si="8"/>
        <v>Target</v>
      </c>
    </row>
    <row r="133" spans="1:21">
      <c r="A133" s="3"/>
      <c r="B133" s="693"/>
      <c r="C133" s="694"/>
      <c r="D133" s="695"/>
      <c r="E133" s="630"/>
      <c r="F133" s="631"/>
      <c r="G133" s="240" t="s">
        <v>93</v>
      </c>
      <c r="H133" s="478"/>
      <c r="I133" s="478"/>
      <c r="J133" s="478"/>
      <c r="K133" s="478"/>
      <c r="L133" s="478"/>
      <c r="M133" s="478"/>
      <c r="N133" s="478"/>
      <c r="O133" s="478"/>
      <c r="P133" s="478"/>
      <c r="Q133" s="478"/>
      <c r="R133" s="478"/>
      <c r="S133" s="478"/>
      <c r="T133" s="457" t="str">
        <f t="shared" si="8"/>
        <v xml:space="preserve">Achieved </v>
      </c>
    </row>
    <row r="134" spans="1:21" ht="14.25" customHeight="1">
      <c r="A134" s="3"/>
      <c r="B134" s="680"/>
      <c r="C134" s="681"/>
      <c r="D134" s="682"/>
      <c r="E134" s="686"/>
      <c r="F134" s="650"/>
      <c r="G134" s="241" t="s">
        <v>92</v>
      </c>
      <c r="H134" s="237"/>
      <c r="I134" s="237"/>
      <c r="J134" s="237"/>
      <c r="K134" s="237"/>
      <c r="L134" s="237"/>
      <c r="M134" s="237"/>
      <c r="N134" s="237"/>
      <c r="O134" s="237"/>
      <c r="P134" s="237"/>
      <c r="Q134" s="237"/>
      <c r="R134" s="237"/>
      <c r="S134" s="302"/>
      <c r="T134" s="456" t="str">
        <f t="shared" si="8"/>
        <v>Target</v>
      </c>
    </row>
    <row r="135" spans="1:21">
      <c r="A135" s="3"/>
      <c r="B135" s="683"/>
      <c r="C135" s="684"/>
      <c r="D135" s="685"/>
      <c r="E135" s="687"/>
      <c r="F135" s="651"/>
      <c r="G135" s="241" t="s">
        <v>93</v>
      </c>
      <c r="H135" s="237"/>
      <c r="I135" s="237"/>
      <c r="J135" s="237"/>
      <c r="K135" s="237"/>
      <c r="L135" s="237"/>
      <c r="M135" s="237"/>
      <c r="N135" s="237"/>
      <c r="O135" s="237"/>
      <c r="P135" s="237"/>
      <c r="Q135" s="237"/>
      <c r="R135" s="237"/>
      <c r="S135" s="302"/>
      <c r="T135" s="456" t="str">
        <f t="shared" si="8"/>
        <v xml:space="preserve">Achieved </v>
      </c>
    </row>
    <row r="136" spans="1:21" ht="14.25" customHeight="1">
      <c r="A136" s="3"/>
      <c r="B136" s="690"/>
      <c r="C136" s="691"/>
      <c r="D136" s="692"/>
      <c r="E136" s="688"/>
      <c r="F136" s="672"/>
      <c r="G136" s="240" t="s">
        <v>92</v>
      </c>
      <c r="H136" s="478"/>
      <c r="I136" s="478"/>
      <c r="J136" s="478"/>
      <c r="K136" s="478"/>
      <c r="L136" s="478"/>
      <c r="M136" s="478"/>
      <c r="N136" s="478"/>
      <c r="O136" s="478"/>
      <c r="P136" s="478"/>
      <c r="Q136" s="478"/>
      <c r="R136" s="478"/>
      <c r="S136" s="478"/>
      <c r="T136" s="457" t="str">
        <f t="shared" si="8"/>
        <v>Target</v>
      </c>
    </row>
    <row r="137" spans="1:21" ht="15.75" thickBot="1">
      <c r="A137" s="3"/>
      <c r="B137" s="696"/>
      <c r="C137" s="697"/>
      <c r="D137" s="698"/>
      <c r="E137" s="689"/>
      <c r="F137" s="673"/>
      <c r="G137" s="303" t="s">
        <v>93</v>
      </c>
      <c r="H137" s="478"/>
      <c r="I137" s="478"/>
      <c r="J137" s="478"/>
      <c r="K137" s="478"/>
      <c r="L137" s="478"/>
      <c r="M137" s="478"/>
      <c r="N137" s="478"/>
      <c r="O137" s="478"/>
      <c r="P137" s="478"/>
      <c r="Q137" s="478"/>
      <c r="R137" s="478"/>
      <c r="S137" s="478"/>
      <c r="T137" s="457" t="str">
        <f t="shared" si="8"/>
        <v xml:space="preserve">Achieved </v>
      </c>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06"/>
      <c r="C141" s="3"/>
      <c r="D141" s="3"/>
      <c r="E141" s="3"/>
      <c r="F141" s="3"/>
      <c r="G141" s="2"/>
      <c r="H141" s="3"/>
      <c r="I141" s="3"/>
      <c r="J141" s="3"/>
      <c r="K141" s="3"/>
      <c r="L141" s="3"/>
      <c r="M141" s="3"/>
      <c r="N141" s="3"/>
      <c r="O141" s="3"/>
      <c r="R141" s="36"/>
      <c r="S141" s="36"/>
    </row>
    <row r="142" spans="1:21">
      <c r="A142" s="3"/>
      <c r="B142" s="3" t="s">
        <v>386</v>
      </c>
      <c r="C142" s="3"/>
      <c r="D142" s="3"/>
      <c r="E142" s="304" t="s">
        <v>329</v>
      </c>
      <c r="F142" s="263" t="s">
        <v>338</v>
      </c>
      <c r="G142" s="239"/>
      <c r="H142" s="477" t="s">
        <v>112</v>
      </c>
      <c r="I142" s="477" t="s">
        <v>113</v>
      </c>
      <c r="J142" s="477" t="s">
        <v>114</v>
      </c>
      <c r="K142" s="477" t="s">
        <v>115</v>
      </c>
      <c r="L142" s="477" t="s">
        <v>127</v>
      </c>
      <c r="M142" s="477" t="s">
        <v>128</v>
      </c>
      <c r="N142" s="477" t="s">
        <v>129</v>
      </c>
      <c r="O142" s="477" t="s">
        <v>130</v>
      </c>
      <c r="P142" s="477" t="s">
        <v>131</v>
      </c>
      <c r="Q142" s="368" t="s">
        <v>132</v>
      </c>
      <c r="R142" s="368" t="s">
        <v>133</v>
      </c>
      <c r="S142" s="368" t="s">
        <v>293</v>
      </c>
      <c r="T142" s="36"/>
      <c r="U142" s="36"/>
    </row>
    <row r="143" spans="1:21">
      <c r="A143" s="3"/>
      <c r="B143" s="674" t="str">
        <f>IF(ISBLANK(B118),"",(B118))</f>
        <v xml:space="preserve">KP-1e: Percentage of other vulnerable populations reached with HIV prevention programs - defined package of services </v>
      </c>
      <c r="C143" s="675"/>
      <c r="D143" s="676"/>
      <c r="E143" s="670" t="str">
        <f>IF(ISBLANK(E118),"",(E118))</f>
        <v/>
      </c>
      <c r="F143" s="671" t="str">
        <f>IF(ISBLANK(F118),"",(F118))</f>
        <v>Yes</v>
      </c>
      <c r="G143" s="330" t="s">
        <v>92</v>
      </c>
      <c r="H143" s="398">
        <f t="shared" ref="H143:S143" si="9">H118</f>
        <v>6199</v>
      </c>
      <c r="I143" s="398">
        <f t="shared" si="9"/>
        <v>6199</v>
      </c>
      <c r="J143" s="398">
        <f t="shared" si="9"/>
        <v>0</v>
      </c>
      <c r="K143" s="398">
        <f t="shared" si="9"/>
        <v>0</v>
      </c>
      <c r="L143" s="398">
        <f t="shared" si="9"/>
        <v>0</v>
      </c>
      <c r="M143" s="398">
        <f t="shared" si="9"/>
        <v>0</v>
      </c>
      <c r="N143" s="398">
        <f t="shared" si="9"/>
        <v>0</v>
      </c>
      <c r="O143" s="398">
        <f t="shared" si="9"/>
        <v>0</v>
      </c>
      <c r="P143" s="398">
        <f>P118</f>
        <v>0</v>
      </c>
      <c r="Q143" s="398">
        <f t="shared" si="9"/>
        <v>0</v>
      </c>
      <c r="R143" s="398">
        <f t="shared" si="9"/>
        <v>0</v>
      </c>
      <c r="S143" s="398">
        <f t="shared" si="9"/>
        <v>0</v>
      </c>
      <c r="T143" s="36"/>
      <c r="U143" s="36"/>
    </row>
    <row r="144" spans="1:21" ht="15.75" thickBot="1">
      <c r="A144" s="3"/>
      <c r="B144" s="677"/>
      <c r="C144" s="678"/>
      <c r="D144" s="679"/>
      <c r="E144" s="670"/>
      <c r="F144" s="671"/>
      <c r="G144" s="130" t="s">
        <v>93</v>
      </c>
      <c r="H144" s="398">
        <f t="shared" ref="H144:K148" si="10">H119</f>
        <v>809</v>
      </c>
      <c r="I144" s="398">
        <f t="shared" si="10"/>
        <v>9171</v>
      </c>
      <c r="J144" s="398">
        <f t="shared" si="10"/>
        <v>0</v>
      </c>
      <c r="K144" s="398">
        <f t="shared" si="10"/>
        <v>0</v>
      </c>
      <c r="L144" s="398">
        <f t="shared" ref="L144:S144" si="11">L119</f>
        <v>0</v>
      </c>
      <c r="M144" s="398">
        <f t="shared" si="11"/>
        <v>0</v>
      </c>
      <c r="N144" s="398">
        <f t="shared" si="11"/>
        <v>0</v>
      </c>
      <c r="O144" s="398">
        <f t="shared" si="11"/>
        <v>0</v>
      </c>
      <c r="P144" s="398">
        <f t="shared" si="11"/>
        <v>0</v>
      </c>
      <c r="Q144" s="398">
        <f t="shared" si="11"/>
        <v>0</v>
      </c>
      <c r="R144" s="398">
        <f t="shared" si="11"/>
        <v>0</v>
      </c>
      <c r="S144" s="398">
        <f t="shared" si="11"/>
        <v>0</v>
      </c>
      <c r="T144" s="36"/>
      <c r="U144" s="36"/>
    </row>
    <row r="145" spans="1:21">
      <c r="A145" s="3"/>
      <c r="B145" s="674" t="str">
        <f>IF(ISBLANK(B120),"",(B120))</f>
        <v>KP-3e: Percentage of other vulnerable populations that have received an HIV test during the reporting period and know their results</v>
      </c>
      <c r="C145" s="675"/>
      <c r="D145" s="676"/>
      <c r="E145" s="670" t="str">
        <f>IF(ISBLANK(E120),"",(E120))</f>
        <v/>
      </c>
      <c r="F145" s="671" t="str">
        <f>IF(ISBLANK(F120),"",(F120))</f>
        <v>Yes</v>
      </c>
      <c r="G145" s="238" t="s">
        <v>92</v>
      </c>
      <c r="H145" s="398">
        <f t="shared" si="10"/>
        <v>7571</v>
      </c>
      <c r="I145" s="398">
        <f>I120</f>
        <v>7571</v>
      </c>
      <c r="J145" s="398">
        <f t="shared" si="10"/>
        <v>0</v>
      </c>
      <c r="K145" s="398">
        <f>K120</f>
        <v>0</v>
      </c>
      <c r="L145" s="398">
        <f t="shared" ref="L145:S145" si="12">L120</f>
        <v>0</v>
      </c>
      <c r="M145" s="398">
        <f t="shared" si="12"/>
        <v>0</v>
      </c>
      <c r="N145" s="398">
        <f>+N120</f>
        <v>0</v>
      </c>
      <c r="O145" s="398">
        <f t="shared" si="12"/>
        <v>0</v>
      </c>
      <c r="P145" s="398">
        <f t="shared" si="12"/>
        <v>0</v>
      </c>
      <c r="Q145" s="398">
        <f t="shared" si="12"/>
        <v>0</v>
      </c>
      <c r="R145" s="398">
        <f t="shared" si="12"/>
        <v>0</v>
      </c>
      <c r="S145" s="398">
        <f t="shared" si="12"/>
        <v>0</v>
      </c>
      <c r="T145" s="36"/>
      <c r="U145" s="36"/>
    </row>
    <row r="146" spans="1:21" ht="15.75" thickBot="1">
      <c r="A146" s="3"/>
      <c r="B146" s="677"/>
      <c r="C146" s="678"/>
      <c r="D146" s="679"/>
      <c r="E146" s="670"/>
      <c r="F146" s="671"/>
      <c r="G146" s="238" t="s">
        <v>93</v>
      </c>
      <c r="H146" s="398">
        <f t="shared" si="10"/>
        <v>1562</v>
      </c>
      <c r="I146" s="398">
        <f t="shared" si="10"/>
        <v>7039</v>
      </c>
      <c r="J146" s="398">
        <f t="shared" si="10"/>
        <v>0</v>
      </c>
      <c r="K146" s="398">
        <f t="shared" si="10"/>
        <v>0</v>
      </c>
      <c r="L146" s="398">
        <f t="shared" ref="L146:S146" si="13">L121</f>
        <v>0</v>
      </c>
      <c r="M146" s="398">
        <f t="shared" si="13"/>
        <v>0</v>
      </c>
      <c r="N146" s="398">
        <f t="shared" si="13"/>
        <v>0</v>
      </c>
      <c r="O146" s="398">
        <f t="shared" si="13"/>
        <v>0</v>
      </c>
      <c r="P146" s="398">
        <f t="shared" si="13"/>
        <v>0</v>
      </c>
      <c r="Q146" s="398">
        <f t="shared" si="13"/>
        <v>0</v>
      </c>
      <c r="R146" s="398">
        <f t="shared" si="13"/>
        <v>0</v>
      </c>
      <c r="S146" s="398">
        <f t="shared" si="13"/>
        <v>0</v>
      </c>
      <c r="T146" s="36"/>
      <c r="U146" s="36"/>
    </row>
    <row r="147" spans="1:21">
      <c r="A147" s="3"/>
      <c r="B147" s="674" t="str">
        <f>IF(ISBLANK(B122),"",(B122))</f>
        <v/>
      </c>
      <c r="C147" s="675"/>
      <c r="D147" s="676"/>
      <c r="E147" s="670" t="str">
        <f>IF(ISBLANK(E122),"",(E122))</f>
        <v/>
      </c>
      <c r="F147" s="671" t="str">
        <f>IF(ISBLANK(F122),"",(F122))</f>
        <v/>
      </c>
      <c r="G147" s="130" t="s">
        <v>92</v>
      </c>
      <c r="H147" s="398">
        <f t="shared" si="10"/>
        <v>0</v>
      </c>
      <c r="I147" s="398">
        <f t="shared" si="10"/>
        <v>0</v>
      </c>
      <c r="J147" s="398">
        <f t="shared" si="10"/>
        <v>0</v>
      </c>
      <c r="K147" s="398">
        <f t="shared" si="10"/>
        <v>0</v>
      </c>
      <c r="L147" s="398">
        <f t="shared" ref="L147:S147" si="14">L122</f>
        <v>0</v>
      </c>
      <c r="M147" s="398">
        <f t="shared" si="14"/>
        <v>0</v>
      </c>
      <c r="N147" s="398">
        <f t="shared" si="14"/>
        <v>0</v>
      </c>
      <c r="O147" s="398">
        <f t="shared" si="14"/>
        <v>0</v>
      </c>
      <c r="P147" s="398">
        <f t="shared" si="14"/>
        <v>0</v>
      </c>
      <c r="Q147" s="398">
        <f t="shared" si="14"/>
        <v>0</v>
      </c>
      <c r="R147" s="398">
        <f t="shared" si="14"/>
        <v>0</v>
      </c>
      <c r="S147" s="398">
        <f t="shared" si="14"/>
        <v>0</v>
      </c>
      <c r="T147" s="36"/>
      <c r="U147" s="36"/>
    </row>
    <row r="148" spans="1:21" ht="15.75" thickBot="1">
      <c r="A148" s="3"/>
      <c r="B148" s="677"/>
      <c r="C148" s="678"/>
      <c r="D148" s="679"/>
      <c r="E148" s="670"/>
      <c r="F148" s="671"/>
      <c r="G148" s="131" t="s">
        <v>93</v>
      </c>
      <c r="H148" s="399">
        <f t="shared" si="10"/>
        <v>0</v>
      </c>
      <c r="I148" s="399">
        <f t="shared" si="10"/>
        <v>0</v>
      </c>
      <c r="J148" s="399">
        <f t="shared" si="10"/>
        <v>0</v>
      </c>
      <c r="K148" s="399">
        <f t="shared" si="10"/>
        <v>0</v>
      </c>
      <c r="L148" s="398">
        <f t="shared" ref="L148:S148" si="15">L123</f>
        <v>0</v>
      </c>
      <c r="M148" s="398">
        <f t="shared" si="15"/>
        <v>0</v>
      </c>
      <c r="N148" s="398">
        <f t="shared" si="15"/>
        <v>0</v>
      </c>
      <c r="O148" s="398">
        <f t="shared" si="15"/>
        <v>0</v>
      </c>
      <c r="P148" s="398">
        <f t="shared" si="15"/>
        <v>0</v>
      </c>
      <c r="Q148" s="398">
        <f t="shared" si="15"/>
        <v>0</v>
      </c>
      <c r="R148" s="398">
        <f t="shared" si="15"/>
        <v>0</v>
      </c>
      <c r="S148" s="398">
        <f t="shared" si="15"/>
        <v>0</v>
      </c>
      <c r="T148" s="36"/>
      <c r="U148" s="36"/>
    </row>
    <row r="149" spans="1:21">
      <c r="A149" s="3"/>
      <c r="B149" s="3"/>
      <c r="C149" s="3"/>
      <c r="D149" s="3"/>
      <c r="E149" s="3"/>
      <c r="F149" s="3"/>
      <c r="G149" s="3"/>
      <c r="H149" s="3"/>
      <c r="I149" s="3"/>
      <c r="J149" s="3"/>
      <c r="K149" s="3"/>
      <c r="L149" s="3"/>
      <c r="M149" s="3"/>
      <c r="N149"/>
      <c r="O149"/>
      <c r="P149" s="36"/>
      <c r="Q149" s="36"/>
    </row>
    <row r="150" spans="1:21">
      <c r="N150"/>
      <c r="O150"/>
      <c r="P150" s="36"/>
      <c r="Q150" s="36"/>
    </row>
    <row r="151" spans="1:21">
      <c r="N151"/>
      <c r="O151"/>
      <c r="P151" s="36"/>
      <c r="Q151" s="36"/>
    </row>
    <row r="152" spans="1:21">
      <c r="N152"/>
      <c r="O152"/>
      <c r="P152" s="36"/>
      <c r="Q152" s="36"/>
    </row>
  </sheetData>
  <mergeCells count="73">
    <mergeCell ref="B147:D148"/>
    <mergeCell ref="E145:E146"/>
    <mergeCell ref="E143:E144"/>
    <mergeCell ref="B145:D146"/>
    <mergeCell ref="E126:E127"/>
    <mergeCell ref="B126:D127"/>
    <mergeCell ref="E134:E135"/>
    <mergeCell ref="E136:E137"/>
    <mergeCell ref="B128:D129"/>
    <mergeCell ref="B130:D131"/>
    <mergeCell ref="B143:D144"/>
    <mergeCell ref="B132:D133"/>
    <mergeCell ref="B134:D135"/>
    <mergeCell ref="B136:D137"/>
    <mergeCell ref="F132:F133"/>
    <mergeCell ref="E128:E129"/>
    <mergeCell ref="E132:E133"/>
    <mergeCell ref="E147:E148"/>
    <mergeCell ref="F126:F127"/>
    <mergeCell ref="F128:F129"/>
    <mergeCell ref="E130:E131"/>
    <mergeCell ref="F130:F131"/>
    <mergeCell ref="F147:F148"/>
    <mergeCell ref="F145:F146"/>
    <mergeCell ref="F134:F135"/>
    <mergeCell ref="F136:F137"/>
    <mergeCell ref="F143:F144"/>
    <mergeCell ref="O31:O34"/>
    <mergeCell ref="E118:E119"/>
    <mergeCell ref="F118:F119"/>
    <mergeCell ref="B118:D119"/>
    <mergeCell ref="B60:D60"/>
    <mergeCell ref="F47:I47"/>
    <mergeCell ref="B71:C71"/>
    <mergeCell ref="B108:B111"/>
    <mergeCell ref="B26:C26"/>
    <mergeCell ref="C10:D10"/>
    <mergeCell ref="E12:F12"/>
    <mergeCell ref="B73:C73"/>
    <mergeCell ref="E122:E123"/>
    <mergeCell ref="B116:D116"/>
    <mergeCell ref="F122:F123"/>
    <mergeCell ref="B14:J14"/>
    <mergeCell ref="A118:A125"/>
    <mergeCell ref="B72:C72"/>
    <mergeCell ref="B18:C18"/>
    <mergeCell ref="B21:J21"/>
    <mergeCell ref="D18:F18"/>
    <mergeCell ref="I24:J24"/>
    <mergeCell ref="D24:E24"/>
    <mergeCell ref="B124:D125"/>
    <mergeCell ref="E124:E125"/>
    <mergeCell ref="F120:F121"/>
    <mergeCell ref="E120:E121"/>
    <mergeCell ref="F124:F125"/>
    <mergeCell ref="B29:N29"/>
    <mergeCell ref="B120:D121"/>
    <mergeCell ref="B122:D123"/>
    <mergeCell ref="G24:H24"/>
    <mergeCell ref="B2:J2"/>
    <mergeCell ref="C4:D4"/>
    <mergeCell ref="E4:F4"/>
    <mergeCell ref="G4:J4"/>
    <mergeCell ref="H16:I16"/>
    <mergeCell ref="I6:J6"/>
    <mergeCell ref="G12:J12"/>
    <mergeCell ref="C6:D6"/>
    <mergeCell ref="E6:F6"/>
    <mergeCell ref="I8:J8"/>
    <mergeCell ref="C12:D12"/>
    <mergeCell ref="C8:D8"/>
    <mergeCell ref="E10:F10"/>
    <mergeCell ref="G10:J10"/>
  </mergeCells>
  <phoneticPr fontId="32" type="noConversion"/>
  <conditionalFormatting sqref="B34 B32 C33:N33 F34 D32:H32">
    <cfRule type="expression" dxfId="40" priority="1" stopIfTrue="1">
      <formula>+AND(B31&gt;=#REF!,B31&lt;=#REF!)</formula>
    </cfRule>
  </conditionalFormatting>
  <conditionalFormatting sqref="C34:N34">
    <cfRule type="expression" dxfId="39" priority="2" stopIfTrue="1">
      <formula>+AND(C32&gt;=#REF!,C32&lt;=#REF!)</formula>
    </cfRule>
  </conditionalFormatting>
  <conditionalFormatting sqref="C30:N30 C94:N94">
    <cfRule type="cellIs" dxfId="38" priority="5" stopIfTrue="1" operator="equal">
      <formula>$C$16</formula>
    </cfRule>
  </conditionalFormatting>
  <conditionalFormatting sqref="C12:D12">
    <cfRule type="cellIs" dxfId="37" priority="7" stopIfTrue="1" operator="equal">
      <formula>"C"</formula>
    </cfRule>
    <cfRule type="cellIs" dxfId="36" priority="8" stopIfTrue="1" operator="equal">
      <formula>"B2"</formula>
    </cfRule>
    <cfRule type="cellIs" dxfId="35" priority="9" stopIfTrue="1" operator="equal">
      <formula>"B1"</formula>
    </cfRule>
  </conditionalFormatting>
  <conditionalFormatting sqref="H116:S117 H142:S142">
    <cfRule type="cellIs" dxfId="34" priority="16" stopIfTrue="1" operator="equal">
      <formula>$C$16</formula>
    </cfRule>
  </conditionalFormatting>
  <conditionalFormatting sqref="F47:I47">
    <cfRule type="expression" dxfId="33" priority="17" stopIfTrue="1">
      <formula>LEFT($F$47,2)="OK"</formula>
    </cfRule>
  </conditionalFormatting>
  <dataValidations disablePrompts="1" count="9">
    <dataValidation type="list" allowBlank="1" showInputMessage="1" showErrorMessage="1" sqref="G6 B108">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stock</formula1>
    </dataValidation>
  </dataValidations>
  <pageMargins left="0.70866141732283505" right="0.70866141732283505" top="0.74803149606299202" bottom="0.74803149606299202" header="0.31496062992126" footer="0.31496062992126"/>
  <pageSetup paperSize="9" scale="60" orientation="landscape" r:id="rId1"/>
  <headerFooter>
    <oddFooter>&amp;L&amp;F&amp;C&amp;A&amp;RV1.0          &amp;D</oddFooter>
  </headerFooter>
  <rowBreaks count="1" manualBreakCount="1">
    <brk id="48" max="16383" man="1"/>
  </rowBreaks>
  <ignoredErrors>
    <ignoredError sqref="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17" zoomScale="110" zoomScaleNormal="110" zoomScaleSheetLayoutView="100" workbookViewId="0">
      <selection activeCell="G13" sqref="G13:J13"/>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54"/>
      <c r="H1" s="2"/>
      <c r="I1" s="2"/>
      <c r="J1" s="2"/>
    </row>
    <row r="2" spans="1:24" ht="25.5" customHeight="1"/>
    <row r="3" spans="1:24" ht="36">
      <c r="B3" s="699" t="str">
        <f>+"Dashboard: "&amp;" "&amp;+IF('Data Entry'!C4="Please Select","",'Data Entry'!C4&amp;" - ")&amp;+IF('Data Entry'!G6="Please Select","",'Data Entry'!G6&amp;"  (")&amp;+IF('Data Entry'!C8="Please Select","",'Data Entry'!C8)&amp;")"</f>
        <v>Dashboard:  Ghana - HIV / AIDS  (PPAG)</v>
      </c>
      <c r="C3" s="699"/>
      <c r="D3" s="699"/>
      <c r="E3" s="699"/>
      <c r="F3" s="699"/>
      <c r="G3" s="699"/>
      <c r="H3" s="699"/>
      <c r="I3" s="699"/>
      <c r="J3" s="69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50" t="s">
        <v>33</v>
      </c>
      <c r="B6" s="701" t="str">
        <f>+IF('Data Entry'!C4="Please Select","",'Data Entry'!C4)</f>
        <v>Ghana</v>
      </c>
      <c r="C6" s="701"/>
      <c r="D6" s="705" t="s">
        <v>19</v>
      </c>
      <c r="E6" s="705"/>
      <c r="F6" s="706" t="str">
        <f>+'Data Entry'!G4</f>
        <v>Reinforcing Scaling Up HIV Services:  Prevention &amp; Targetting</v>
      </c>
      <c r="G6" s="706"/>
      <c r="H6" s="706"/>
      <c r="I6" s="706"/>
      <c r="J6" s="706"/>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57" t="s">
        <v>34</v>
      </c>
      <c r="B9" s="464" t="str">
        <f>+IF('Data Entry'!G6="Please Select","",'Data Entry'!G6)</f>
        <v>HIV / AIDS</v>
      </c>
      <c r="C9" s="357" t="s">
        <v>330</v>
      </c>
      <c r="D9" s="326" t="str">
        <f>+'Data Entry'!C6</f>
        <v>GHN-809-G10-H</v>
      </c>
      <c r="E9" s="703" t="s">
        <v>20</v>
      </c>
      <c r="F9" s="703"/>
      <c r="G9" s="327">
        <f>+IF(ISBLANK('Data Entry'!C10),"",'Data Entry'!C10)</f>
        <v>42186</v>
      </c>
      <c r="H9" s="357" t="str">
        <f>'Data Entry'!H6</f>
        <v>NFM</v>
      </c>
      <c r="I9" s="702">
        <f>+IF(ISBLANK('Data Entry'!I6),"",'Data Entry'!I6)</f>
        <v>1621833</v>
      </c>
      <c r="J9" s="702"/>
      <c r="K9" s="50"/>
      <c r="L9" s="50"/>
      <c r="M9" s="50"/>
      <c r="N9" s="50"/>
      <c r="O9" s="52"/>
      <c r="P9" s="51"/>
      <c r="Q9" s="52"/>
      <c r="R9" s="53"/>
      <c r="S9" s="17"/>
      <c r="T9" s="11"/>
      <c r="U9" s="11"/>
      <c r="V9" s="10"/>
      <c r="W9" s="10"/>
      <c r="X9" s="10"/>
    </row>
    <row r="10" spans="1:24" ht="25.5" customHeight="1">
      <c r="A10" s="357" t="s">
        <v>325</v>
      </c>
      <c r="B10" s="465" t="str">
        <f>+IF('Data Entry'!G8="Please Select","",'Data Entry'!G8)</f>
        <v/>
      </c>
      <c r="C10" s="357" t="s">
        <v>324</v>
      </c>
      <c r="D10" s="462" t="str">
        <f>+IF('Data Entry'!I8="Please Select","",'Data Entry'!I8)</f>
        <v/>
      </c>
      <c r="E10" s="704" t="s">
        <v>275</v>
      </c>
      <c r="F10" s="704"/>
      <c r="G10" s="700" t="str">
        <f>+'Data Entry'!C8</f>
        <v>PPAG</v>
      </c>
      <c r="H10" s="700"/>
      <c r="I10" s="700"/>
      <c r="J10" s="700"/>
      <c r="K10" s="54"/>
      <c r="L10" s="54"/>
      <c r="M10" s="50"/>
      <c r="N10" s="54"/>
      <c r="O10" s="52"/>
      <c r="P10" s="51"/>
      <c r="Q10" s="11"/>
      <c r="R10" s="53"/>
      <c r="S10" s="17"/>
      <c r="T10" s="11"/>
      <c r="U10" s="11"/>
    </row>
    <row r="11" spans="1:24" ht="25.5" customHeight="1">
      <c r="A11" s="357" t="s">
        <v>28</v>
      </c>
      <c r="B11" s="466" t="str">
        <f>+'Data Entry'!C16</f>
        <v>P2</v>
      </c>
      <c r="C11" s="424" t="s">
        <v>273</v>
      </c>
      <c r="D11" s="463">
        <f>+IF(ISBLANK('Data Entry'!E16),"",'Data Entry'!E16)</f>
        <v>42278</v>
      </c>
      <c r="E11" s="703" t="s">
        <v>29</v>
      </c>
      <c r="F11" s="703"/>
      <c r="G11" s="327">
        <f>+IF(ISBLANK('Data Entry'!G16),"",'Data Entry'!G16)</f>
        <v>42369</v>
      </c>
      <c r="H11" s="357" t="s">
        <v>36</v>
      </c>
      <c r="I11" s="707" t="str">
        <f>+IF('Data Entry'!C12="Please Select","",'Data Entry'!C12)</f>
        <v>A1</v>
      </c>
      <c r="J11" s="707"/>
      <c r="K11" s="253"/>
      <c r="L11" s="54"/>
      <c r="M11" s="50"/>
      <c r="N11" s="54"/>
      <c r="O11" s="54"/>
      <c r="P11" s="51"/>
      <c r="Q11" s="11"/>
      <c r="R11" s="53"/>
      <c r="S11" s="17"/>
      <c r="T11" s="12"/>
      <c r="U11" s="11"/>
    </row>
    <row r="12" spans="1:24" ht="25.5" customHeight="1">
      <c r="A12" s="357" t="s">
        <v>38</v>
      </c>
      <c r="B12" s="700" t="str">
        <f>+IF('Data Entry'!G10="Please Select","",'Data Entry'!G10)</f>
        <v>PwC (PricewaterhouseCoopers)</v>
      </c>
      <c r="C12" s="700"/>
      <c r="D12" s="700"/>
      <c r="E12" s="704" t="s">
        <v>295</v>
      </c>
      <c r="F12" s="704"/>
      <c r="G12" s="700" t="str">
        <f>+'Data Entry'!G12</f>
        <v>Mark Saalfeld</v>
      </c>
      <c r="H12" s="700"/>
      <c r="I12" s="700"/>
      <c r="J12" s="700"/>
      <c r="K12" s="54"/>
      <c r="L12" s="54"/>
      <c r="M12" s="50"/>
      <c r="N12" s="54"/>
      <c r="O12" s="17"/>
      <c r="P12" s="51"/>
      <c r="Q12" s="11"/>
      <c r="R12" s="53"/>
      <c r="S12" s="17"/>
      <c r="T12" s="11"/>
      <c r="U12" s="55"/>
      <c r="V12" s="11"/>
      <c r="W12" s="12"/>
      <c r="X12" s="11"/>
    </row>
    <row r="13" spans="1:24" ht="25.5" customHeight="1">
      <c r="A13" s="357" t="s">
        <v>39</v>
      </c>
      <c r="B13" s="700" t="str">
        <f>+'Data Entry'!D18</f>
        <v>Anne-Marie A. Godwyll</v>
      </c>
      <c r="C13" s="700"/>
      <c r="D13" s="700"/>
      <c r="E13" s="704" t="s">
        <v>37</v>
      </c>
      <c r="F13" s="704"/>
      <c r="G13" s="708">
        <f>+IF(ISBLANK('Data Entry'!J16),"",'Data Entry'!J16)</f>
        <v>42412</v>
      </c>
      <c r="H13" s="709"/>
      <c r="I13" s="709"/>
      <c r="J13" s="70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5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2"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I26" zoomScaleNormal="120" workbookViewId="0">
      <selection activeCell="S9" sqref="S9:W15"/>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03" t="str">
        <f>'Grant Detail'!B3:J3</f>
        <v>Dashboard:  Ghana - HIV / AIDS  (PPAG)</v>
      </c>
      <c r="C2" s="603"/>
      <c r="D2" s="603"/>
      <c r="E2" s="603"/>
      <c r="F2" s="603"/>
      <c r="G2" s="603"/>
      <c r="H2" s="603"/>
      <c r="I2" s="603"/>
      <c r="J2" s="603"/>
      <c r="K2" s="603"/>
      <c r="L2" s="1"/>
      <c r="M2" s="1"/>
      <c r="N2" s="1"/>
      <c r="O2" s="1"/>
    </row>
    <row r="3" spans="2:15">
      <c r="B3" s="132" t="str">
        <f>+IF('Data Entry'!G8="Please Select","",'Data Entry'!G8)</f>
        <v/>
      </c>
      <c r="C3" s="716" t="str">
        <f>+IF('Data Entry'!I8="Please Select","",'Data Entry'!I8)</f>
        <v/>
      </c>
      <c r="D3" s="716"/>
      <c r="E3" s="713"/>
      <c r="F3" s="713"/>
      <c r="G3" s="713"/>
      <c r="H3" s="713"/>
      <c r="I3" s="711" t="str">
        <f>+'Data Entry'!B16</f>
        <v>Report Period:</v>
      </c>
      <c r="J3" s="711"/>
      <c r="K3" s="198" t="str">
        <f>+'Data Entry'!C16</f>
        <v>P2</v>
      </c>
      <c r="L3" s="83"/>
    </row>
    <row r="4" spans="2:15">
      <c r="B4" s="132" t="str">
        <f>+'Data Entry'!B12</f>
        <v>Latest Rating:</v>
      </c>
      <c r="C4" s="717" t="str">
        <f>+IF('Data Entry'!C12="Please Select","",'Data Entry'!C12)</f>
        <v>A1</v>
      </c>
      <c r="D4" s="717"/>
      <c r="E4" s="713" t="str">
        <f>+'Data Entry'!C8</f>
        <v>PPAG</v>
      </c>
      <c r="F4" s="713"/>
      <c r="G4" s="713"/>
      <c r="H4" s="713"/>
      <c r="I4" s="711" t="str">
        <f>+'Data Entry'!D16</f>
        <v>From:</v>
      </c>
      <c r="J4" s="712"/>
      <c r="K4" s="200">
        <f>+IF(ISBLANK('Data Entry'!E16),"",'Data Entry'!E16)</f>
        <v>42278</v>
      </c>
    </row>
    <row r="5" spans="2:15" ht="18.75" customHeight="1">
      <c r="B5" s="132"/>
      <c r="C5" s="132"/>
      <c r="D5" s="710" t="str">
        <f>+'Data Entry'!G4</f>
        <v>Reinforcing Scaling Up HIV Services:  Prevention &amp; Targetting</v>
      </c>
      <c r="E5" s="710"/>
      <c r="F5" s="710"/>
      <c r="G5" s="710"/>
      <c r="H5" s="710"/>
      <c r="I5" s="710"/>
      <c r="J5" s="132" t="str">
        <f>+'Data Entry'!F16</f>
        <v>To:</v>
      </c>
      <c r="K5" s="200">
        <f>+IF(ISBLANK('Data Entry'!G16),"",'Data Entry'!G16)</f>
        <v>42369</v>
      </c>
    </row>
    <row r="6" spans="2:15" ht="18.75">
      <c r="B6" s="136"/>
      <c r="C6" s="132"/>
      <c r="D6" s="133"/>
      <c r="E6" s="723" t="s">
        <v>69</v>
      </c>
      <c r="F6" s="723"/>
      <c r="G6" s="723"/>
      <c r="H6" s="723"/>
      <c r="I6" s="3"/>
      <c r="J6" s="3"/>
      <c r="K6" s="3"/>
    </row>
    <row r="7" spans="2:15" ht="10.5" customHeight="1">
      <c r="B7" s="137"/>
      <c r="C7" s="138"/>
      <c r="D7" s="139"/>
      <c r="E7" s="140"/>
      <c r="F7" s="140"/>
      <c r="G7" s="141"/>
      <c r="H7" s="141"/>
      <c r="I7" s="135"/>
      <c r="J7" s="135"/>
      <c r="K7" s="134"/>
    </row>
    <row r="8" spans="2:15">
      <c r="B8" s="203" t="str">
        <f>+'Data Entry'!B27&amp; " - ("&amp;'Data Entry'!D26&amp;")            "&amp;+I3&amp;" "&amp;+K3</f>
        <v>F1: Budget and disbursements by Global Fund - ($)            Report Period: P2</v>
      </c>
      <c r="C8" s="142"/>
      <c r="D8" s="2"/>
      <c r="E8" s="2"/>
      <c r="F8" s="2"/>
      <c r="H8" s="203" t="str">
        <f>+'Data Entry'!B49&amp; " - ("&amp;'Data Entry'!D26&amp;")               "&amp;+I3&amp;" "&amp;+K3</f>
        <v>F3: Disbursements and expenditures - ($)               Report Period: P2</v>
      </c>
      <c r="I8" s="3"/>
      <c r="J8" s="3"/>
      <c r="K8" s="3"/>
    </row>
    <row r="9" spans="2:15">
      <c r="B9" s="331" t="s">
        <v>16</v>
      </c>
      <c r="C9" s="731"/>
      <c r="D9" s="721"/>
      <c r="E9" s="721"/>
      <c r="F9" s="722"/>
      <c r="H9" s="332" t="s">
        <v>16</v>
      </c>
      <c r="I9" s="718"/>
      <c r="J9" s="721"/>
      <c r="K9" s="722"/>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("&amp;'Data Entry'!D26&amp;")  "&amp;+I3&amp;" "&amp;+K3</f>
        <v>F2: Budget and actual expenditures by Grant Objective - ($)  Report Period: P2</v>
      </c>
      <c r="C22" s="2"/>
      <c r="D22" s="2"/>
      <c r="E22" s="2"/>
      <c r="F22" s="2"/>
      <c r="H22" s="204" t="str">
        <f>+'Data Entry'!B58&amp;"      "&amp;+I3&amp;" "&amp;+K3</f>
        <v>F4: Latest PR reporting and disbursement cycle      Report Period: P2</v>
      </c>
      <c r="J22" s="3"/>
      <c r="K22" s="3"/>
    </row>
    <row r="23" spans="1:11">
      <c r="B23" s="332" t="s">
        <v>17</v>
      </c>
      <c r="C23" s="718"/>
      <c r="D23" s="721"/>
      <c r="E23" s="721"/>
      <c r="F23" s="722"/>
      <c r="G23" s="354"/>
      <c r="H23" s="332" t="s">
        <v>16</v>
      </c>
      <c r="I23" s="718"/>
      <c r="J23" s="719"/>
      <c r="K23" s="720"/>
    </row>
    <row r="24" spans="1:11" ht="15.75" thickBot="1">
      <c r="B24" s="213"/>
      <c r="C24" s="213"/>
      <c r="D24" s="213"/>
      <c r="E24" s="213"/>
      <c r="F24" s="213"/>
      <c r="G24" s="213"/>
      <c r="H24" s="214"/>
      <c r="I24" s="214"/>
      <c r="J24" s="213"/>
      <c r="K24" s="213"/>
    </row>
    <row r="25" spans="1:11" ht="29.25" customHeight="1" thickBot="1">
      <c r="B25" s="3"/>
      <c r="C25" s="3"/>
      <c r="D25" s="3"/>
      <c r="E25" s="3"/>
      <c r="F25" s="3"/>
      <c r="G25" s="308"/>
      <c r="H25" s="724" t="s">
        <v>312</v>
      </c>
      <c r="I25" s="725"/>
      <c r="J25" s="725"/>
      <c r="K25" s="726"/>
    </row>
    <row r="26" spans="1:11" ht="24.75">
      <c r="B26" s="3"/>
      <c r="C26" s="3"/>
      <c r="D26" s="3"/>
      <c r="E26" s="3"/>
      <c r="F26" s="3"/>
      <c r="G26" s="270"/>
      <c r="H26" s="727"/>
      <c r="I26" s="728"/>
      <c r="J26" s="286" t="s">
        <v>67</v>
      </c>
      <c r="K26" s="287" t="s">
        <v>68</v>
      </c>
    </row>
    <row r="27" spans="1:11" ht="23.25" customHeight="1">
      <c r="B27" s="3"/>
      <c r="C27" s="3"/>
      <c r="D27" s="3"/>
      <c r="E27" s="3"/>
      <c r="F27" s="3"/>
      <c r="G27" s="309"/>
      <c r="H27" s="729" t="str">
        <f>'Data Entry'!B62</f>
        <v>Days taken to submit final PU/DR to LFA</v>
      </c>
      <c r="I27" s="730"/>
      <c r="J27" s="288">
        <f>+'Data Entry'!C62</f>
        <v>60</v>
      </c>
      <c r="K27" s="285">
        <f>+'Data Entry'!D62</f>
        <v>0</v>
      </c>
    </row>
    <row r="28" spans="1:11" ht="21" customHeight="1">
      <c r="B28" s="3"/>
      <c r="C28" s="3"/>
      <c r="D28" s="3"/>
      <c r="E28" s="3"/>
      <c r="F28" s="3"/>
      <c r="G28" s="309"/>
      <c r="H28" s="729" t="str">
        <f>'Data Entry'!B63</f>
        <v>Days taken for disbursement to reach PR</v>
      </c>
      <c r="I28" s="730"/>
      <c r="J28" s="288">
        <f>+'Data Entry'!C63</f>
        <v>45</v>
      </c>
      <c r="K28" s="285">
        <f>+'Data Entry'!D63</f>
        <v>34</v>
      </c>
    </row>
    <row r="29" spans="1:11" ht="21" customHeight="1" thickBot="1">
      <c r="B29" s="3"/>
      <c r="C29" s="3"/>
      <c r="D29" s="3"/>
      <c r="E29" s="3"/>
      <c r="F29" s="3"/>
      <c r="G29" s="309"/>
      <c r="H29" s="714" t="str">
        <f>'Data Entry'!B64</f>
        <v xml:space="preserve">Days taken for disbursement to reach SRs </v>
      </c>
      <c r="I29" s="715"/>
      <c r="J29" s="289">
        <f>+'Data Entry'!C64</f>
        <v>30</v>
      </c>
      <c r="K29" s="290">
        <f>+'Data Entry'!D64</f>
        <v>28</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H29:I29"/>
    <mergeCell ref="C3:D3"/>
    <mergeCell ref="C4:D4"/>
    <mergeCell ref="E4:H4"/>
    <mergeCell ref="I23:K23"/>
    <mergeCell ref="C23:F23"/>
    <mergeCell ref="I9:K9"/>
    <mergeCell ref="E6:H6"/>
    <mergeCell ref="H25:K25"/>
    <mergeCell ref="H26:I26"/>
    <mergeCell ref="H28:I28"/>
    <mergeCell ref="H27:I27"/>
    <mergeCell ref="C9:F9"/>
    <mergeCell ref="B2:K2"/>
    <mergeCell ref="D5:I5"/>
    <mergeCell ref="I4:J4"/>
    <mergeCell ref="I3:J3"/>
    <mergeCell ref="E3:H3"/>
  </mergeCells>
  <phoneticPr fontId="32" type="noConversion"/>
  <conditionalFormatting sqref="K27:K29">
    <cfRule type="cellIs" dxfId="29" priority="4" stopIfTrue="1" operator="greaterThan">
      <formula>J27</formula>
    </cfRule>
    <cfRule type="cellIs" dxfId="28" priority="5" stopIfTrue="1" operator="between">
      <formula>J27</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5" workbookViewId="0">
      <selection activeCell="H42" sqref="H42"/>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0"/>
      <c r="E1" s="231"/>
    </row>
    <row r="2" spans="1:16" ht="27.75" customHeight="1">
      <c r="B2" s="735" t="str">
        <f>'Grant Detail'!B3:J3</f>
        <v>Dashboard:  Ghana - HIV / AIDS  (PPAG)</v>
      </c>
      <c r="C2" s="735"/>
      <c r="D2" s="735"/>
      <c r="E2" s="735"/>
      <c r="F2" s="735"/>
      <c r="G2" s="735"/>
      <c r="H2" s="735"/>
      <c r="I2" s="735"/>
      <c r="J2" s="735"/>
      <c r="K2" s="735"/>
      <c r="L2" s="735"/>
      <c r="M2" s="26"/>
      <c r="N2" s="26"/>
      <c r="O2" s="26"/>
      <c r="P2" s="26"/>
    </row>
    <row r="3" spans="1:16">
      <c r="B3" s="24" t="str">
        <f>+IF('Data Entry'!G8="Please Select","",'Data Entry'!G8)</f>
        <v/>
      </c>
      <c r="C3" s="733" t="str">
        <f>+IF('Data Entry'!I8="Please Select","",'Data Entry'!I8)</f>
        <v/>
      </c>
      <c r="D3" s="733"/>
      <c r="E3" s="734"/>
      <c r="F3" s="734"/>
      <c r="G3" s="734"/>
      <c r="H3" s="734"/>
      <c r="I3" s="734"/>
      <c r="J3" s="737" t="str">
        <f>+'Data Entry'!B16</f>
        <v>Report Period:</v>
      </c>
      <c r="K3" s="737"/>
      <c r="L3" s="198" t="str">
        <f>+'Data Entry'!C16</f>
        <v>P2</v>
      </c>
    </row>
    <row r="4" spans="1:16">
      <c r="B4" s="24" t="str">
        <f>+'Data Entry'!B12</f>
        <v>Latest Rating:</v>
      </c>
      <c r="C4" s="717" t="str">
        <f>+IF('Data Entry'!C12="Please Select","",'Data Entry'!C12)</f>
        <v>A1</v>
      </c>
      <c r="D4" s="717"/>
      <c r="E4" s="734" t="str">
        <f>+'Data Entry'!C8</f>
        <v>PPAG</v>
      </c>
      <c r="F4" s="734"/>
      <c r="G4" s="734"/>
      <c r="H4" s="734"/>
      <c r="I4" s="734"/>
      <c r="J4" s="737" t="str">
        <f>+'Data Entry'!D16</f>
        <v>From:</v>
      </c>
      <c r="K4" s="741"/>
      <c r="L4" s="200">
        <f>+IF(ISBLANK('Data Entry'!E16),"",'Data Entry'!E16)</f>
        <v>42278</v>
      </c>
    </row>
    <row r="5" spans="1:16" ht="18.75" customHeight="1">
      <c r="B5" s="24"/>
      <c r="C5" s="24"/>
      <c r="D5" s="734" t="str">
        <f>+'Data Entry'!G4</f>
        <v>Reinforcing Scaling Up HIV Services:  Prevention &amp; Targetting</v>
      </c>
      <c r="E5" s="734"/>
      <c r="F5" s="734"/>
      <c r="G5" s="734"/>
      <c r="H5" s="734"/>
      <c r="I5" s="734"/>
      <c r="J5" s="734"/>
      <c r="K5" s="24" t="str">
        <f>+'Data Entry'!F16</f>
        <v>To:</v>
      </c>
      <c r="L5" s="200">
        <f>+IF(ISBLANK('Data Entry'!G16),"",'Data Entry'!G16)</f>
        <v>42369</v>
      </c>
    </row>
    <row r="6" spans="1:16" ht="18.75">
      <c r="B6" s="23"/>
      <c r="C6" s="24"/>
      <c r="D6" s="25"/>
      <c r="E6" s="736" t="s">
        <v>76</v>
      </c>
      <c r="F6" s="736"/>
      <c r="G6" s="736"/>
      <c r="H6" s="736"/>
      <c r="I6" s="736"/>
    </row>
    <row r="7" spans="1:16">
      <c r="B7" s="355" t="str">
        <f>+'Data Entry'!B69&amp;"                "&amp;+J3&amp;" "&amp;+L3</f>
        <v>M1: Status of Conditions Precedent (CPs) and Time Bound Actions (TBAs)                Report Period: P2</v>
      </c>
      <c r="C7" s="21"/>
      <c r="H7" s="355" t="str">
        <f>+'Data Entry'!B76&amp;"                                                                             "&amp;+J3&amp;"  "&amp;+L3</f>
        <v>M2: Status of key PR management positions                                                                             Report Period:  P2</v>
      </c>
    </row>
    <row r="8" spans="1:16">
      <c r="B8" s="333" t="s">
        <v>16</v>
      </c>
      <c r="C8" s="718"/>
      <c r="D8" s="719"/>
      <c r="E8" s="719"/>
      <c r="F8" s="720"/>
      <c r="G8" s="356"/>
      <c r="H8" s="332" t="s">
        <v>16</v>
      </c>
      <c r="I8" s="718"/>
      <c r="J8" s="721"/>
      <c r="K8" s="721"/>
      <c r="L8" s="722"/>
    </row>
    <row r="9" spans="1:16">
      <c r="B9" s="19"/>
      <c r="C9" s="19"/>
      <c r="D9" s="19"/>
      <c r="E9" s="19"/>
      <c r="F9" s="19"/>
      <c r="G9" s="19"/>
      <c r="H9" s="19"/>
    </row>
    <row r="10" spans="1:16">
      <c r="A10" s="47"/>
      <c r="B10" s="19"/>
      <c r="C10" s="19"/>
      <c r="D10" s="742"/>
      <c r="E10" s="743"/>
      <c r="F10" s="743"/>
      <c r="G10" s="207"/>
      <c r="H10" s="19"/>
      <c r="N10" s="49"/>
      <c r="O10" s="49"/>
      <c r="P10" s="48"/>
    </row>
    <row r="11" spans="1:16">
      <c r="B11" s="19"/>
      <c r="C11" s="28"/>
      <c r="D11" s="74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55" t="str">
        <f>+'Data Entry'!B81&amp;"                                                                                                  "&amp;+J3&amp;" "&amp;+L3</f>
        <v>M3: Contractual arrangements (SRs)                                                                                                   Report Period: P2</v>
      </c>
      <c r="H15" s="355" t="str">
        <f>+'Data Entry'!B86&amp;"                  "&amp;+J3&amp;" "&amp;+L3</f>
        <v>M4: Number of complete reports received on time, this reporting period                  Report Period: P2</v>
      </c>
    </row>
    <row r="16" spans="1:16">
      <c r="B16" s="333" t="s">
        <v>16</v>
      </c>
      <c r="C16" s="718"/>
      <c r="D16" s="721"/>
      <c r="E16" s="721"/>
      <c r="F16" s="722"/>
      <c r="G16" s="356"/>
      <c r="H16" s="332" t="s">
        <v>16</v>
      </c>
      <c r="I16" s="718"/>
      <c r="J16" s="719"/>
      <c r="K16" s="719"/>
      <c r="L16" s="720"/>
    </row>
    <row r="17" spans="2:13">
      <c r="B17" s="29"/>
      <c r="H17" s="30"/>
    </row>
    <row r="18" spans="2:13">
      <c r="M18" s="83"/>
    </row>
    <row r="26" spans="2:13">
      <c r="B26" s="355" t="str">
        <f>+'Data Entry'!B92</f>
        <v>M5: Budget and Procurement of health products, health equipment, medicines and pharmaceuticals</v>
      </c>
      <c r="H26" s="355" t="str">
        <f>+'Data Entry'!B105&amp;"                                                                "&amp;+J3&amp;"  "&amp;+L3</f>
        <v>M6: Difference between current and safety stock                                                                Report Period:  P2</v>
      </c>
    </row>
    <row r="27" spans="2:13">
      <c r="B27" s="331" t="s">
        <v>16</v>
      </c>
      <c r="C27" s="731" t="s">
        <v>410</v>
      </c>
      <c r="D27" s="721"/>
      <c r="E27" s="721"/>
      <c r="F27" s="722"/>
      <c r="G27" s="356"/>
      <c r="H27" s="332" t="s">
        <v>16</v>
      </c>
      <c r="I27" s="718"/>
      <c r="J27" s="719"/>
      <c r="K27" s="719"/>
      <c r="L27" s="720"/>
    </row>
    <row r="28" spans="2:13" ht="15.75" thickBot="1"/>
    <row r="29" spans="2:13" ht="44.25" customHeight="1">
      <c r="F29" s="314"/>
      <c r="G29" s="314"/>
      <c r="H29" s="219" t="s">
        <v>40</v>
      </c>
      <c r="I29" s="310" t="s">
        <v>86</v>
      </c>
      <c r="J29" s="329" t="s">
        <v>337</v>
      </c>
      <c r="K29" s="218" t="s">
        <v>332</v>
      </c>
      <c r="L29" s="311" t="s">
        <v>331</v>
      </c>
    </row>
    <row r="30" spans="2:13" ht="15" customHeight="1">
      <c r="F30" s="314"/>
      <c r="G30" s="314"/>
      <c r="H30" s="738" t="str">
        <f>+'Data Entry'!B108</f>
        <v>HIV / AIDS</v>
      </c>
      <c r="I30" s="312" t="str">
        <f>+'Data Entry'!C108</f>
        <v>Condoms</v>
      </c>
      <c r="J30" s="315">
        <f>+'Data Entry'!I108</f>
        <v>0</v>
      </c>
      <c r="K30" s="307">
        <f>+'Data Entry'!J108</f>
        <v>0</v>
      </c>
      <c r="L30" s="402">
        <f>+'Data Entry'!K108</f>
        <v>0</v>
      </c>
    </row>
    <row r="31" spans="2:13">
      <c r="F31" s="314"/>
      <c r="G31" s="314"/>
      <c r="H31" s="739"/>
      <c r="I31" s="312" t="str">
        <f>+'Data Entry'!C109</f>
        <v>HIV test kits</v>
      </c>
      <c r="J31" s="315">
        <f>+'Data Entry'!I109</f>
        <v>0</v>
      </c>
      <c r="K31" s="307" t="str">
        <f>+'Data Entry'!J109</f>
        <v>12 months</v>
      </c>
      <c r="L31" s="403">
        <f>+'Data Entry'!K109</f>
        <v>-12</v>
      </c>
    </row>
    <row r="32" spans="2:13">
      <c r="F32" s="314"/>
      <c r="G32" s="314"/>
      <c r="H32" s="739"/>
      <c r="I32" s="312" t="str">
        <f>+'Data Entry'!C110</f>
        <v>HIV confirmation kits</v>
      </c>
      <c r="J32" s="315">
        <f>+'Data Entry'!I110</f>
        <v>0</v>
      </c>
      <c r="K32" s="307" t="str">
        <f>+'Data Entry'!J110</f>
        <v>12 months</v>
      </c>
      <c r="L32" s="402">
        <f>+'Data Entry'!K110</f>
        <v>-12</v>
      </c>
    </row>
    <row r="33" spans="2:12" ht="15.75" thickBot="1">
      <c r="F33" s="314"/>
      <c r="G33" s="314"/>
      <c r="H33" s="740"/>
      <c r="I33" s="313">
        <f>+'Data Entry'!C111</f>
        <v>0</v>
      </c>
      <c r="J33" s="316" t="str">
        <f>+'Data Entry'!I111</f>
        <v/>
      </c>
      <c r="K33" s="317">
        <f>+'Data Entry'!J111</f>
        <v>0</v>
      </c>
      <c r="L33" s="402" t="str">
        <f>+'Data Entry'!K111</f>
        <v/>
      </c>
    </row>
    <row r="34" spans="2:12" ht="24.75" customHeight="1">
      <c r="B34" s="732" t="str">
        <f>+'Data Entry'!B102</f>
        <v>* Includes only EFR category 4 and 5  (Health products and health equipment &amp; Medicines and Pharmaceuticals)</v>
      </c>
      <c r="C34" s="732"/>
      <c r="D34" s="732"/>
      <c r="E34" s="732"/>
      <c r="F34" s="19"/>
      <c r="G34" s="19"/>
      <c r="H34" s="215"/>
      <c r="I34" s="216"/>
      <c r="J34" s="217"/>
      <c r="K34" s="207"/>
      <c r="L34" s="20"/>
    </row>
    <row r="35" spans="2:12">
      <c r="F35" s="19"/>
      <c r="G35" s="19"/>
      <c r="H35" s="19"/>
      <c r="I35" s="19"/>
      <c r="J35" s="19"/>
      <c r="K35" s="19"/>
      <c r="L35" s="19"/>
    </row>
  </sheetData>
  <sheetProtection password="CFC9" sheet="1"/>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2"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1" zoomScale="150" zoomScaleNormal="150" workbookViewId="0">
      <selection activeCell="E21" sqref="E21"/>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4.140625" customWidth="1"/>
    <col min="16" max="16" width="10.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778" t="str">
        <f>'Grant Detail'!B3:J3</f>
        <v>Dashboard:  Ghana - HIV / AIDS  (PPAG)</v>
      </c>
      <c r="C2" s="778"/>
      <c r="D2" s="778"/>
      <c r="E2" s="778"/>
      <c r="F2" s="778"/>
      <c r="G2" s="778"/>
      <c r="H2" s="778"/>
      <c r="I2" s="778"/>
      <c r="J2" s="778"/>
      <c r="K2" s="778"/>
      <c r="L2" s="778"/>
      <c r="M2" s="778"/>
      <c r="N2" s="778"/>
      <c r="O2" s="778"/>
      <c r="P2" s="778"/>
      <c r="Q2" s="778"/>
    </row>
    <row r="3" spans="1:35" ht="18.75">
      <c r="A3" s="3"/>
      <c r="B3" s="132" t="str">
        <f>+IF('Data Entry'!G8="Please Select","",'Data Entry'!G8)</f>
        <v/>
      </c>
      <c r="C3" s="716" t="str">
        <f>+IF('Data Entry'!I8="Please Select","",'Data Entry'!I8)</f>
        <v/>
      </c>
      <c r="D3" s="716"/>
      <c r="E3" s="713"/>
      <c r="F3" s="713"/>
      <c r="G3" s="713"/>
      <c r="H3" s="713"/>
      <c r="I3" s="780"/>
      <c r="J3" s="780"/>
      <c r="K3" s="780"/>
      <c r="L3" s="3"/>
      <c r="M3" s="3"/>
      <c r="O3" s="711" t="str">
        <f>+'Data Entry'!B16</f>
        <v>Report Period:</v>
      </c>
      <c r="P3" s="711"/>
      <c r="Q3" s="199" t="str">
        <f>+'Data Entry'!C16</f>
        <v>P2</v>
      </c>
    </row>
    <row r="4" spans="1:35" ht="12" customHeight="1">
      <c r="A4" s="3"/>
      <c r="B4" s="132" t="str">
        <f>+'Data Entry'!B12</f>
        <v>Latest Rating:</v>
      </c>
      <c r="C4" s="781" t="str">
        <f>+IF('Data Entry'!C12="Please Select","",'Data Entry'!C12)</f>
        <v>A1</v>
      </c>
      <c r="D4" s="781"/>
      <c r="E4" s="713" t="str">
        <f>+'Data Entry'!C8</f>
        <v>PPAG</v>
      </c>
      <c r="F4" s="713"/>
      <c r="G4" s="713"/>
      <c r="H4" s="713"/>
      <c r="I4" s="713"/>
      <c r="J4" s="713"/>
      <c r="K4" s="713"/>
      <c r="L4" s="713"/>
      <c r="M4" s="3"/>
      <c r="O4" s="319"/>
      <c r="P4" s="132" t="str">
        <f>+'Data Entry'!D16</f>
        <v>From:</v>
      </c>
      <c r="Q4" s="320">
        <f>+IF(ISBLANK('Data Entry'!E16),"",'Data Entry'!E16)</f>
        <v>42278</v>
      </c>
      <c r="Y4" s="71"/>
      <c r="Z4" s="71"/>
      <c r="AA4" s="71"/>
      <c r="AB4" s="71"/>
      <c r="AC4" s="71"/>
    </row>
    <row r="5" spans="1:35" ht="15.75" customHeight="1">
      <c r="A5" s="3"/>
      <c r="B5" s="132"/>
      <c r="C5" s="132"/>
      <c r="D5" s="713" t="str">
        <f>+'Data Entry'!G4</f>
        <v>Reinforcing Scaling Up HIV Services:  Prevention &amp; Targetting</v>
      </c>
      <c r="E5" s="713"/>
      <c r="F5" s="713"/>
      <c r="G5" s="713"/>
      <c r="H5" s="713"/>
      <c r="I5" s="713"/>
      <c r="J5" s="713"/>
      <c r="K5" s="713"/>
      <c r="L5" s="713"/>
      <c r="M5" s="713"/>
      <c r="N5" s="713"/>
      <c r="P5" s="132" t="str">
        <f>+'Data Entry'!F16</f>
        <v>To:</v>
      </c>
      <c r="Q5" s="320">
        <f>+IF(ISBLANK('Data Entry'!G16),"",'Data Entry'!G16)</f>
        <v>42369</v>
      </c>
      <c r="S5" s="225"/>
      <c r="T5" s="225"/>
      <c r="U5" s="225"/>
      <c r="V5" s="225"/>
      <c r="W5" s="225"/>
      <c r="X5" s="225"/>
      <c r="Y5" s="71"/>
      <c r="Z5" s="71"/>
      <c r="AA5" s="71" t="s">
        <v>50</v>
      </c>
      <c r="AB5" s="71"/>
      <c r="AC5" s="71" t="s">
        <v>271</v>
      </c>
      <c r="AD5" s="225"/>
      <c r="AE5" s="225"/>
      <c r="AF5" s="225"/>
      <c r="AG5" s="225"/>
      <c r="AH5" s="225"/>
      <c r="AI5" s="225"/>
    </row>
    <row r="6" spans="1:35" ht="15.75" customHeight="1">
      <c r="A6" s="3"/>
      <c r="B6" s="132"/>
      <c r="C6" s="132"/>
      <c r="D6" s="224"/>
      <c r="E6" s="224"/>
      <c r="F6" s="779" t="s">
        <v>378</v>
      </c>
      <c r="G6" s="779"/>
      <c r="H6" s="779"/>
      <c r="I6" s="779"/>
      <c r="J6" s="779"/>
      <c r="K6" s="779"/>
      <c r="L6" s="224"/>
      <c r="M6" s="3"/>
      <c r="N6" s="3"/>
      <c r="O6" s="201"/>
      <c r="P6" s="245"/>
      <c r="S6" s="225"/>
      <c r="T6" s="225"/>
      <c r="U6" s="225"/>
      <c r="V6" s="225"/>
      <c r="W6" s="225"/>
      <c r="X6" s="225"/>
      <c r="Y6" s="71"/>
      <c r="Z6" s="71"/>
      <c r="AA6" s="71"/>
      <c r="AB6" s="71"/>
      <c r="AC6" s="71"/>
      <c r="AD6" s="225"/>
      <c r="AE6" s="225"/>
      <c r="AF6" s="225"/>
      <c r="AG6" s="225"/>
      <c r="AH6" s="225"/>
      <c r="AI6" s="225"/>
    </row>
    <row r="7" spans="1:35" ht="3" customHeight="1">
      <c r="A7" s="3"/>
      <c r="B7" s="132"/>
      <c r="C7" s="132"/>
      <c r="D7" s="224"/>
      <c r="E7" s="224"/>
      <c r="F7" s="224"/>
      <c r="G7" s="224"/>
      <c r="H7" s="224"/>
      <c r="I7" s="224"/>
      <c r="J7" s="224"/>
      <c r="K7" s="224"/>
      <c r="L7" s="224"/>
      <c r="M7" s="3"/>
      <c r="N7" s="3"/>
      <c r="O7" s="201"/>
      <c r="P7" s="200"/>
      <c r="Q7" s="200"/>
      <c r="S7" s="225"/>
      <c r="T7" s="225"/>
      <c r="U7" s="225"/>
      <c r="V7" s="225"/>
      <c r="W7" s="225"/>
      <c r="X7" s="225"/>
      <c r="Y7" s="71"/>
      <c r="Z7" s="71"/>
      <c r="AA7" s="71"/>
      <c r="AB7" s="71"/>
      <c r="AC7" s="71"/>
      <c r="AD7" s="225"/>
      <c r="AE7" s="225"/>
      <c r="AF7" s="225"/>
      <c r="AG7" s="225"/>
      <c r="AH7" s="225"/>
      <c r="AI7" s="225"/>
    </row>
    <row r="8" spans="1:35" ht="24" customHeight="1">
      <c r="A8" s="3"/>
      <c r="B8" s="760" t="str">
        <f>+'Data Entry'!B118</f>
        <v xml:space="preserve">KP-1e: Percentage of other vulnerable populations reached with HIV prevention programs - defined package of services </v>
      </c>
      <c r="C8" s="760"/>
      <c r="D8" s="760"/>
      <c r="E8" s="760"/>
      <c r="F8" s="760" t="str">
        <f>+'Data Entry'!B120</f>
        <v>KP-3e: Percentage of other vulnerable populations that have received an HIV test during the reporting period and know their results</v>
      </c>
      <c r="G8" s="760"/>
      <c r="H8" s="760"/>
      <c r="I8" s="760"/>
      <c r="J8" s="760"/>
      <c r="K8" s="760"/>
      <c r="L8" s="760">
        <f>+'Data Entry'!B122</f>
        <v>0</v>
      </c>
      <c r="M8" s="760"/>
      <c r="N8" s="760"/>
      <c r="O8" s="760"/>
      <c r="P8" s="760"/>
      <c r="Q8" s="760"/>
      <c r="S8" s="225"/>
      <c r="T8" s="225"/>
      <c r="U8" s="225"/>
      <c r="V8" s="225"/>
      <c r="W8" s="225"/>
      <c r="X8" s="225"/>
      <c r="Y8" s="71"/>
      <c r="Z8" s="71"/>
      <c r="AA8" s="71"/>
      <c r="AB8" s="71"/>
      <c r="AC8" s="71"/>
      <c r="AD8" s="225"/>
      <c r="AE8" s="225"/>
      <c r="AF8" s="225"/>
      <c r="AG8" s="225"/>
      <c r="AH8" s="225"/>
      <c r="AI8" s="225"/>
    </row>
    <row r="9" spans="1:35" ht="18.75" customHeight="1">
      <c r="A9" s="3"/>
      <c r="B9" s="427" t="s">
        <v>12</v>
      </c>
      <c r="C9" s="757"/>
      <c r="D9" s="765"/>
      <c r="E9" s="766"/>
      <c r="F9" s="428" t="s">
        <v>12</v>
      </c>
      <c r="G9" s="757"/>
      <c r="H9" s="765"/>
      <c r="I9" s="765"/>
      <c r="J9" s="765"/>
      <c r="K9" s="766"/>
      <c r="L9" s="428" t="s">
        <v>13</v>
      </c>
      <c r="M9" s="757"/>
      <c r="N9" s="758"/>
      <c r="O9" s="758"/>
      <c r="P9" s="758"/>
      <c r="Q9" s="759"/>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4"/>
      <c r="E10" s="224"/>
      <c r="F10" s="224"/>
      <c r="G10" s="224"/>
      <c r="H10" s="224"/>
      <c r="I10" s="224"/>
      <c r="J10" s="224"/>
      <c r="K10" s="224"/>
      <c r="L10" s="224"/>
      <c r="M10" s="3"/>
      <c r="N10" s="3"/>
      <c r="O10" s="201"/>
      <c r="P10" s="200"/>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4"/>
      <c r="E11" s="224"/>
      <c r="F11" s="224"/>
      <c r="G11" s="224"/>
      <c r="H11" s="224"/>
      <c r="I11" s="224"/>
      <c r="J11" s="224"/>
      <c r="K11" s="224"/>
      <c r="L11" s="224"/>
      <c r="M11" s="3"/>
      <c r="N11" s="3"/>
      <c r="O11" s="201"/>
      <c r="P11" s="200"/>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4"/>
      <c r="E12" s="224"/>
      <c r="F12" s="224"/>
      <c r="G12" s="224"/>
      <c r="H12" s="224"/>
      <c r="I12" s="224"/>
      <c r="J12" s="224"/>
      <c r="K12" s="224"/>
      <c r="L12" s="224"/>
      <c r="M12" s="3"/>
      <c r="N12" s="3"/>
      <c r="O12" s="201"/>
      <c r="P12" s="200"/>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4"/>
      <c r="E13" s="224"/>
      <c r="F13" s="224"/>
      <c r="G13" s="224"/>
      <c r="H13" s="224"/>
      <c r="I13" s="224"/>
      <c r="J13" s="224"/>
      <c r="K13" s="224"/>
      <c r="L13" s="224"/>
      <c r="M13" s="3"/>
      <c r="N13" s="3"/>
      <c r="O13" s="201"/>
      <c r="P13" s="200"/>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4"/>
      <c r="E14" s="224"/>
      <c r="F14" s="224"/>
      <c r="G14" s="224"/>
      <c r="H14" s="224"/>
      <c r="I14" s="224"/>
      <c r="J14" s="224"/>
      <c r="K14" s="224"/>
      <c r="L14" s="224"/>
      <c r="M14" s="3"/>
      <c r="N14" s="3"/>
      <c r="O14" s="201"/>
      <c r="P14" s="200"/>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4"/>
      <c r="E15" s="224"/>
      <c r="F15" s="224"/>
      <c r="G15" s="224"/>
      <c r="H15" s="224"/>
      <c r="I15" s="224"/>
      <c r="J15" s="224"/>
      <c r="K15" s="224"/>
      <c r="L15" s="224"/>
      <c r="M15" s="3"/>
      <c r="N15" s="3"/>
      <c r="O15" s="201"/>
      <c r="P15" s="200"/>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4"/>
      <c r="E16" s="224"/>
      <c r="F16" s="224"/>
      <c r="G16" s="224"/>
      <c r="H16" s="224"/>
      <c r="I16" s="224"/>
      <c r="J16" s="224"/>
      <c r="K16" s="224"/>
      <c r="L16" s="224"/>
      <c r="M16" s="3"/>
      <c r="N16" s="3"/>
      <c r="O16" s="201"/>
      <c r="P16" s="200"/>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4"/>
      <c r="E17" s="224"/>
      <c r="F17" s="224"/>
      <c r="G17" s="224"/>
      <c r="H17" s="224"/>
      <c r="I17" s="224"/>
      <c r="J17" s="224"/>
      <c r="K17" s="224"/>
      <c r="L17" s="224"/>
      <c r="M17" s="3"/>
      <c r="N17" s="3"/>
      <c r="O17" s="201"/>
      <c r="P17" s="200"/>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771"/>
      <c r="F18" s="771"/>
      <c r="G18" s="771"/>
      <c r="H18" s="771"/>
      <c r="I18" s="771"/>
      <c r="J18" s="771"/>
      <c r="K18" s="771"/>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764" t="s">
        <v>95</v>
      </c>
      <c r="C19" s="764"/>
      <c r="D19" s="764"/>
      <c r="E19" s="143" t="s">
        <v>92</v>
      </c>
      <c r="F19" s="143" t="s">
        <v>96</v>
      </c>
      <c r="G19" s="767" t="s">
        <v>333</v>
      </c>
      <c r="H19" s="768"/>
      <c r="I19" s="769" t="s">
        <v>334</v>
      </c>
      <c r="J19" s="770"/>
      <c r="K19" s="318" t="s">
        <v>422</v>
      </c>
      <c r="L19" s="761" t="s">
        <v>99</v>
      </c>
      <c r="M19" s="762"/>
      <c r="N19" s="762"/>
      <c r="O19" s="762"/>
      <c r="P19" s="762"/>
      <c r="Q19" s="763"/>
      <c r="S19" s="65" t="s">
        <v>97</v>
      </c>
      <c r="T19" s="66">
        <v>0</v>
      </c>
      <c r="U19" s="67">
        <v>0.3</v>
      </c>
      <c r="V19" s="67">
        <v>0.6</v>
      </c>
      <c r="W19" s="67">
        <v>0.9</v>
      </c>
      <c r="X19" s="67">
        <v>1</v>
      </c>
      <c r="Y19" s="71"/>
      <c r="Z19" s="71"/>
      <c r="AA19" s="65" t="s">
        <v>97</v>
      </c>
      <c r="AB19" s="66">
        <v>0</v>
      </c>
      <c r="AC19" s="67">
        <v>0.2</v>
      </c>
      <c r="AD19" s="67">
        <v>0.4</v>
      </c>
      <c r="AE19" s="67">
        <v>0.6</v>
      </c>
      <c r="AF19" s="67">
        <v>0.8</v>
      </c>
      <c r="AG19" s="71"/>
      <c r="AH19" s="71"/>
      <c r="AI19" s="71"/>
    </row>
    <row r="20" spans="1:35" ht="24" customHeight="1">
      <c r="A20" s="3"/>
      <c r="B20" s="753" t="str">
        <f>+'Data Entry'!B118</f>
        <v xml:space="preserve">KP-1e: Percentage of other vulnerable populations reached with HIV prevention programs - defined package of services </v>
      </c>
      <c r="C20" s="753"/>
      <c r="D20" s="753"/>
      <c r="E20" s="144">
        <f ca="1">OFFSET('Data Entry'!$G$117,1,RIGHT('Data Entry'!$C$16,LEN('Data Entry'!$C$16)-1),1,1)</f>
        <v>6199</v>
      </c>
      <c r="F20" s="144">
        <f ca="1">OFFSET('Data Entry'!$G$117,2,RIGHT('Data Entry'!$C$16,LEN('Data Entry'!$C$16)-1),1,1)</f>
        <v>9171</v>
      </c>
      <c r="G20" s="745">
        <f t="shared" ref="G20:G29" ca="1" si="0">+IF(ISERROR(F20/E20),0,F20/E20)</f>
        <v>1.4794321664784642</v>
      </c>
      <c r="H20" s="746"/>
      <c r="I20" s="746"/>
      <c r="J20" s="746"/>
      <c r="K20" s="747"/>
      <c r="L20" s="754" t="s">
        <v>464</v>
      </c>
      <c r="M20" s="755"/>
      <c r="N20" s="755"/>
      <c r="O20" s="755"/>
      <c r="P20" s="755"/>
      <c r="Q20" s="756"/>
      <c r="R20" s="472"/>
      <c r="S20" s="471"/>
      <c r="T20" s="68">
        <v>0.3</v>
      </c>
      <c r="U20" s="67">
        <v>0.6</v>
      </c>
      <c r="V20" s="67">
        <v>0.9</v>
      </c>
      <c r="W20" s="67">
        <v>1</v>
      </c>
      <c r="X20" s="67">
        <v>2</v>
      </c>
      <c r="Y20" s="71"/>
      <c r="Z20" s="71"/>
      <c r="AA20" s="65" t="s">
        <v>98</v>
      </c>
      <c r="AB20" s="68">
        <v>0.2</v>
      </c>
      <c r="AC20" s="67">
        <v>0.4</v>
      </c>
      <c r="AD20" s="67">
        <v>0.6</v>
      </c>
      <c r="AE20" s="67">
        <v>0.8</v>
      </c>
      <c r="AF20" s="67">
        <v>1</v>
      </c>
      <c r="AG20" s="71"/>
      <c r="AH20" s="71"/>
      <c r="AI20" s="71"/>
    </row>
    <row r="21" spans="1:35" ht="24" customHeight="1">
      <c r="A21" s="3"/>
      <c r="B21" s="753" t="str">
        <f>+'Data Entry'!B120</f>
        <v>KP-3e: Percentage of other vulnerable populations that have received an HIV test during the reporting period and know their results</v>
      </c>
      <c r="C21" s="753"/>
      <c r="D21" s="753"/>
      <c r="E21" s="144">
        <f ca="1">OFFSET('Data Entry'!$G$117,3,RIGHT('Data Entry'!$C$16,LEN('Data Entry'!$C$16)-1),1,1)</f>
        <v>7571</v>
      </c>
      <c r="F21" s="144">
        <f ca="1">OFFSET('Data Entry'!$G$117,4,RIGHT('Data Entry'!$C$16,LEN('Data Entry'!$C$16)-1),1,1)</f>
        <v>7039</v>
      </c>
      <c r="G21" s="745">
        <f t="shared" ca="1" si="0"/>
        <v>0.92973187161537441</v>
      </c>
      <c r="H21" s="746"/>
      <c r="I21" s="746"/>
      <c r="J21" s="746"/>
      <c r="K21" s="747"/>
      <c r="L21" s="754" t="s">
        <v>465</v>
      </c>
      <c r="M21" s="755"/>
      <c r="N21" s="755"/>
      <c r="O21" s="755"/>
      <c r="P21" s="755"/>
      <c r="Q21" s="756"/>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272</v>
      </c>
      <c r="AA21" s="69" t="s">
        <v>271</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24" customHeight="1">
      <c r="A22" s="3"/>
      <c r="B22" s="753">
        <f>+'Data Entry'!B122</f>
        <v>0</v>
      </c>
      <c r="C22" s="753"/>
      <c r="D22" s="753"/>
      <c r="E22" s="144">
        <f ca="1">OFFSET('Data Entry'!$G$117,5,RIGHT('Data Entry'!$C$16,LEN('Data Entry'!$C$16)-1),1,1)</f>
        <v>0</v>
      </c>
      <c r="F22" s="144">
        <f ca="1">OFFSET('Data Entry'!$G$117,6,RIGHT('Data Entry'!$C$16,LEN('Data Entry'!$C$16)-1),1,1)</f>
        <v>0</v>
      </c>
      <c r="G22" s="745">
        <f t="shared" ca="1" si="0"/>
        <v>0</v>
      </c>
      <c r="H22" s="746"/>
      <c r="I22" s="746"/>
      <c r="J22" s="746"/>
      <c r="K22" s="747"/>
      <c r="L22" s="754"/>
      <c r="M22" s="755"/>
      <c r="N22" s="755"/>
      <c r="O22" s="755"/>
      <c r="P22" s="755"/>
      <c r="Q22" s="756"/>
      <c r="S22" s="69"/>
      <c r="T22" s="67" t="e">
        <f t="shared" ref="T22:W33" si="1">IF($K20&gt;T$19,IF($K20&lt;=T$20,$K20,NA()),NA())</f>
        <v>#N/A</v>
      </c>
      <c r="U22" s="67" t="e">
        <f t="shared" si="1"/>
        <v>#N/A</v>
      </c>
      <c r="V22" s="67" t="e">
        <f t="shared" si="1"/>
        <v>#N/A</v>
      </c>
      <c r="W22" s="67" t="e">
        <f t="shared" si="1"/>
        <v>#N/A</v>
      </c>
      <c r="X22" s="67" t="e">
        <f>IF($K20&gt;X$19,IF($K20&lt;=X$20,1,NA()),NA())</f>
        <v>#N/A</v>
      </c>
      <c r="Y22" s="71"/>
      <c r="Z22" s="197"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24" customHeight="1">
      <c r="A23" s="3"/>
      <c r="B23" s="773">
        <f>+'Data Entry'!B124</f>
        <v>0</v>
      </c>
      <c r="C23" s="774"/>
      <c r="D23" s="775"/>
      <c r="E23" s="144">
        <f ca="1">OFFSET('Data Entry'!$G$117,7,RIGHT('Data Entry'!$C$16,LEN('Data Entry'!$C$16)-1),1,1)</f>
        <v>0</v>
      </c>
      <c r="F23" s="144">
        <f ca="1">OFFSET('Data Entry'!$G$117,8,RIGHT('Data Entry'!$C$16,LEN('Data Entry'!$C$16)-1),1,1)</f>
        <v>0</v>
      </c>
      <c r="G23" s="745">
        <f t="shared" ca="1" si="0"/>
        <v>0</v>
      </c>
      <c r="H23" s="746"/>
      <c r="I23" s="746"/>
      <c r="J23" s="746"/>
      <c r="K23" s="747"/>
      <c r="L23" s="744"/>
      <c r="M23" s="744"/>
      <c r="N23" s="744"/>
      <c r="O23" s="744"/>
      <c r="P23" s="744"/>
      <c r="Q23" s="744"/>
      <c r="S23" s="69"/>
      <c r="T23" s="67" t="e">
        <f t="shared" si="1"/>
        <v>#N/A</v>
      </c>
      <c r="U23" s="67" t="e">
        <f t="shared" si="1"/>
        <v>#N/A</v>
      </c>
      <c r="V23" s="67" t="e">
        <f t="shared" si="1"/>
        <v>#N/A</v>
      </c>
      <c r="W23" s="67" t="e">
        <f t="shared" si="1"/>
        <v>#N/A</v>
      </c>
      <c r="X23" s="67" t="e">
        <f>IF($K21&gt;X$19,IF($K21&lt;=X$20,1,1),NA())</f>
        <v>#N/A</v>
      </c>
      <c r="Y23" s="71"/>
      <c r="Z23" s="197"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24" customHeight="1">
      <c r="A24" s="3"/>
      <c r="B24" s="753">
        <f>+'Data Entry'!B126</f>
        <v>0</v>
      </c>
      <c r="C24" s="753"/>
      <c r="D24" s="753"/>
      <c r="E24" s="144">
        <f ca="1">OFFSET('Data Entry'!$G$117,9,RIGHT('Data Entry'!$C$16,LEN('Data Entry'!$C$16)-1),1,1)</f>
        <v>0</v>
      </c>
      <c r="F24" s="144">
        <f ca="1">OFFSET('Data Entry'!$G$117,10,RIGHT('Data Entry'!$C$16,LEN('Data Entry'!$C$16)-1),1,1)</f>
        <v>0</v>
      </c>
      <c r="G24" s="745">
        <f t="shared" ca="1" si="0"/>
        <v>0</v>
      </c>
      <c r="H24" s="746"/>
      <c r="I24" s="746"/>
      <c r="J24" s="746"/>
      <c r="K24" s="747"/>
      <c r="L24" s="754"/>
      <c r="M24" s="755"/>
      <c r="N24" s="755"/>
      <c r="O24" s="755"/>
      <c r="P24" s="755"/>
      <c r="Q24" s="756"/>
      <c r="S24" s="69"/>
      <c r="T24" s="67" t="e">
        <f t="shared" si="1"/>
        <v>#N/A</v>
      </c>
      <c r="U24" s="67" t="e">
        <f t="shared" si="1"/>
        <v>#N/A</v>
      </c>
      <c r="V24" s="67" t="e">
        <f t="shared" si="1"/>
        <v>#N/A</v>
      </c>
      <c r="W24" s="67" t="e">
        <f t="shared" si="1"/>
        <v>#N/A</v>
      </c>
      <c r="X24" s="67" t="e">
        <f t="shared" ref="X24:X33" si="3">IF($K22&gt;X$19,IF($K22&lt;=X$20,1,NA()),NA())</f>
        <v>#N/A</v>
      </c>
      <c r="Y24" s="71"/>
      <c r="Z24" s="197"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3">
        <f>+'Data Entry'!B128</f>
        <v>0</v>
      </c>
      <c r="C25" s="753"/>
      <c r="D25" s="753"/>
      <c r="E25" s="144">
        <f ca="1">OFFSET('Data Entry'!$G$117,11,RIGHT('Data Entry'!$C$16,LEN('Data Entry'!$C$16)-1),1,1)</f>
        <v>0</v>
      </c>
      <c r="F25" s="144">
        <f ca="1">OFFSET('Data Entry'!$G$117,12,RIGHT('Data Entry'!$C$16,LEN('Data Entry'!$C$16)-1),1,1)</f>
        <v>0</v>
      </c>
      <c r="G25" s="745">
        <f t="shared" ca="1" si="0"/>
        <v>0</v>
      </c>
      <c r="H25" s="746"/>
      <c r="I25" s="746"/>
      <c r="J25" s="746"/>
      <c r="K25" s="747"/>
      <c r="L25" s="744"/>
      <c r="M25" s="744"/>
      <c r="N25" s="744"/>
      <c r="O25" s="744"/>
      <c r="P25" s="744"/>
      <c r="Q25" s="744"/>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53">
        <f>+'Data Entry'!B130</f>
        <v>0</v>
      </c>
      <c r="C26" s="753"/>
      <c r="D26" s="753"/>
      <c r="E26" s="144">
        <f ca="1">OFFSET('Data Entry'!$G$117,13,RIGHT('Data Entry'!$C$16,LEN('Data Entry'!$C$16)-1),1,1)</f>
        <v>0</v>
      </c>
      <c r="F26" s="144">
        <f ca="1">OFFSET('Data Entry'!$G$117,14,RIGHT('Data Entry'!$C$16,LEN('Data Entry'!$C$16)-1),1,1)</f>
        <v>0</v>
      </c>
      <c r="G26" s="745">
        <f t="shared" ca="1" si="0"/>
        <v>0</v>
      </c>
      <c r="H26" s="746"/>
      <c r="I26" s="746"/>
      <c r="J26" s="746"/>
      <c r="K26" s="747"/>
      <c r="L26" s="744"/>
      <c r="M26" s="744"/>
      <c r="N26" s="744"/>
      <c r="O26" s="744"/>
      <c r="P26" s="744"/>
      <c r="Q26" s="744"/>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3">
        <f>+'Data Entry'!B132</f>
        <v>0</v>
      </c>
      <c r="C27" s="753"/>
      <c r="D27" s="753"/>
      <c r="E27" s="144">
        <f ca="1">OFFSET('Data Entry'!$G$117,15,RIGHT('Data Entry'!$C$16,LEN('Data Entry'!$C$16)-1),1,1)</f>
        <v>0</v>
      </c>
      <c r="F27" s="144">
        <f ca="1">OFFSET('Data Entry'!$G$117,16,RIGHT('Data Entry'!$C$16,LEN('Data Entry'!$C$16)-1),1,1)</f>
        <v>0</v>
      </c>
      <c r="G27" s="745">
        <f t="shared" ca="1" si="0"/>
        <v>0</v>
      </c>
      <c r="H27" s="746"/>
      <c r="I27" s="746"/>
      <c r="J27" s="746"/>
      <c r="K27" s="747"/>
      <c r="L27" s="744"/>
      <c r="M27" s="744"/>
      <c r="N27" s="744"/>
      <c r="O27" s="744"/>
      <c r="P27" s="744"/>
      <c r="Q27" s="74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24" customHeight="1">
      <c r="A28" s="3"/>
      <c r="B28" s="753">
        <f>+'Data Entry'!B134</f>
        <v>0</v>
      </c>
      <c r="C28" s="753"/>
      <c r="D28" s="753"/>
      <c r="E28" s="144">
        <f ca="1">OFFSET('Data Entry'!$G$117,17,RIGHT('Data Entry'!$C$16,LEN('Data Entry'!$C$16)-1),1,1)</f>
        <v>0</v>
      </c>
      <c r="F28" s="144">
        <f ca="1">OFFSET('Data Entry'!$G$117,18,RIGHT('Data Entry'!$C$16,LEN('Data Entry'!$C$16)-1),1,1)</f>
        <v>0</v>
      </c>
      <c r="G28" s="745">
        <f t="shared" ca="1" si="0"/>
        <v>0</v>
      </c>
      <c r="H28" s="746"/>
      <c r="I28" s="746"/>
      <c r="J28" s="746"/>
      <c r="K28" s="747"/>
      <c r="L28" s="744"/>
      <c r="M28" s="744"/>
      <c r="N28" s="744"/>
      <c r="O28" s="744"/>
      <c r="P28" s="744"/>
      <c r="Q28" s="74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73">
        <f>+'Data Entry'!B136</f>
        <v>0</v>
      </c>
      <c r="C29" s="774"/>
      <c r="D29" s="775"/>
      <c r="E29" s="144">
        <f ca="1">OFFSET('Data Entry'!$G$117,19,RIGHT('Data Entry'!$C$16,LEN('Data Entry'!$C$16)-1),1,1)</f>
        <v>0</v>
      </c>
      <c r="F29" s="144">
        <f ca="1">OFFSET('Data Entry'!$G$117,20,RIGHT('Data Entry'!$C$16,LEN('Data Entry'!$C$16)-1),1,1)</f>
        <v>0</v>
      </c>
      <c r="G29" s="745">
        <f t="shared" ca="1" si="0"/>
        <v>0</v>
      </c>
      <c r="H29" s="746"/>
      <c r="I29" s="746"/>
      <c r="J29" s="746"/>
      <c r="K29" s="747"/>
      <c r="L29" s="744"/>
      <c r="M29" s="744"/>
      <c r="N29" s="744"/>
      <c r="O29" s="744"/>
      <c r="P29" s="744"/>
      <c r="Q29" s="744"/>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7"/>
      <c r="C30" s="777"/>
      <c r="D30" s="777"/>
      <c r="E30" s="777"/>
      <c r="F30" s="776"/>
      <c r="G30" s="776"/>
      <c r="H30" s="776"/>
      <c r="I30" s="776"/>
      <c r="J30" s="776"/>
      <c r="K30" s="776"/>
      <c r="L30" s="748"/>
      <c r="M30" s="748"/>
      <c r="N30" s="748"/>
      <c r="O30" s="748"/>
      <c r="P30" s="74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49"/>
      <c r="C31" s="749"/>
      <c r="D31" s="749"/>
      <c r="E31" s="750"/>
      <c r="F31" s="751"/>
      <c r="G31" s="752"/>
      <c r="H31" s="752"/>
      <c r="I31" s="752"/>
      <c r="J31" s="752"/>
      <c r="K31" s="750"/>
      <c r="L31" s="751"/>
      <c r="M31" s="752"/>
      <c r="N31" s="752"/>
      <c r="O31" s="752"/>
      <c r="P31" s="75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2"/>
      <c r="C33" s="772"/>
      <c r="D33" s="772"/>
      <c r="E33" s="772"/>
      <c r="F33" s="772"/>
      <c r="G33" s="772"/>
      <c r="H33" s="772"/>
      <c r="I33" s="772"/>
      <c r="J33" s="772"/>
      <c r="K33" s="772"/>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2"/>
      <c r="C34" s="772"/>
      <c r="D34" s="772"/>
      <c r="E34" s="772"/>
      <c r="F34" s="772"/>
      <c r="G34" s="772"/>
      <c r="H34" s="772"/>
      <c r="I34" s="772"/>
      <c r="J34" s="772"/>
      <c r="K34" s="772"/>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99"/>
      <c r="J35" s="99"/>
      <c r="K35" s="99"/>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1"/>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1"/>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1"/>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sheetProtection password="CFC9" sheet="1"/>
  <mergeCells count="58">
    <mergeCell ref="B2:Q2"/>
    <mergeCell ref="O3:P3"/>
    <mergeCell ref="D5:N5"/>
    <mergeCell ref="L8:Q8"/>
    <mergeCell ref="F6:K6"/>
    <mergeCell ref="E3:K3"/>
    <mergeCell ref="C4:D4"/>
    <mergeCell ref="B8:E8"/>
    <mergeCell ref="C3:D3"/>
    <mergeCell ref="E4:L4"/>
    <mergeCell ref="B21:D21"/>
    <mergeCell ref="G26:K26"/>
    <mergeCell ref="G27:K27"/>
    <mergeCell ref="L27:Q27"/>
    <mergeCell ref="G21:K21"/>
    <mergeCell ref="B25:D25"/>
    <mergeCell ref="L21:Q21"/>
    <mergeCell ref="L22:Q22"/>
    <mergeCell ref="B33:D34"/>
    <mergeCell ref="E33:G34"/>
    <mergeCell ref="H33:K34"/>
    <mergeCell ref="B23:D23"/>
    <mergeCell ref="B24:D24"/>
    <mergeCell ref="F30:K30"/>
    <mergeCell ref="B30:E30"/>
    <mergeCell ref="B26:D26"/>
    <mergeCell ref="B29:D29"/>
    <mergeCell ref="B27:D27"/>
    <mergeCell ref="G23:K23"/>
    <mergeCell ref="G24:K24"/>
    <mergeCell ref="M9:Q9"/>
    <mergeCell ref="F8:K8"/>
    <mergeCell ref="B20:D20"/>
    <mergeCell ref="L19:Q19"/>
    <mergeCell ref="B19:D19"/>
    <mergeCell ref="G20:K20"/>
    <mergeCell ref="C9:E9"/>
    <mergeCell ref="G9:K9"/>
    <mergeCell ref="G19:H19"/>
    <mergeCell ref="I19:J19"/>
    <mergeCell ref="E18:K18"/>
    <mergeCell ref="L20:Q20"/>
    <mergeCell ref="L28:Q28"/>
    <mergeCell ref="G22:K22"/>
    <mergeCell ref="G25:K25"/>
    <mergeCell ref="L30:P30"/>
    <mergeCell ref="B31:E31"/>
    <mergeCell ref="F31:K31"/>
    <mergeCell ref="G28:K28"/>
    <mergeCell ref="G29:K29"/>
    <mergeCell ref="L31:P31"/>
    <mergeCell ref="B28:D28"/>
    <mergeCell ref="B22:D22"/>
    <mergeCell ref="L23:Q23"/>
    <mergeCell ref="L24:Q24"/>
    <mergeCell ref="L29:Q29"/>
    <mergeCell ref="L25:Q25"/>
    <mergeCell ref="L26:Q26"/>
  </mergeCells>
  <phoneticPr fontId="32"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3" zoomScaleNormal="90" workbookViewId="0">
      <selection activeCell="D33" sqref="D33:G33"/>
    </sheetView>
  </sheetViews>
  <sheetFormatPr defaultColWidth="9.140625"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13"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5.42578125" style="31" customWidth="1"/>
    <col min="15" max="15" width="2.5703125" style="31" customWidth="1"/>
    <col min="16" max="16384" width="9.14062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778" t="str">
        <f>'Grant Detail'!B3:J3</f>
        <v>Dashboard:  Ghana - HIV / AIDS  (PPAG)</v>
      </c>
      <c r="C2" s="778"/>
      <c r="D2" s="778"/>
      <c r="E2" s="778"/>
      <c r="F2" s="778"/>
      <c r="G2" s="778"/>
      <c r="H2" s="778"/>
      <c r="I2" s="778"/>
      <c r="J2" s="778"/>
      <c r="K2" s="778"/>
      <c r="L2" s="778"/>
      <c r="M2" s="778"/>
      <c r="N2" s="778"/>
      <c r="O2" s="73"/>
    </row>
    <row r="3" spans="1:15" customFormat="1" ht="18.75">
      <c r="A3" s="3"/>
      <c r="B3" s="132" t="str">
        <f>+IF('Data Entry'!G8="Please Select","",'Data Entry'!G8)</f>
        <v/>
      </c>
      <c r="C3" s="716" t="str">
        <f>+IF('Data Entry'!I8="Please Select","",'Data Entry'!I8)</f>
        <v/>
      </c>
      <c r="D3" s="716"/>
      <c r="E3" s="780"/>
      <c r="F3" s="780"/>
      <c r="G3" s="780"/>
      <c r="H3" s="780"/>
      <c r="I3" s="780"/>
      <c r="J3" s="780"/>
      <c r="K3" s="780"/>
      <c r="L3" s="132" t="str">
        <f>+'Data Entry'!B16</f>
        <v>Report Period:</v>
      </c>
      <c r="M3" s="199" t="str">
        <f>+'Data Entry'!C16</f>
        <v>P2</v>
      </c>
      <c r="N3" s="199"/>
      <c r="O3" s="31"/>
    </row>
    <row r="4" spans="1:15" customFormat="1" ht="15">
      <c r="A4" s="3"/>
      <c r="B4" s="132" t="str">
        <f>+'Data Entry'!B12</f>
        <v>Latest Rating:</v>
      </c>
      <c r="C4" s="781" t="str">
        <f>+IF('Data Entry'!C12="Please Select","",'Data Entry'!C12)</f>
        <v>A1</v>
      </c>
      <c r="D4" s="781"/>
      <c r="E4" s="713" t="str">
        <f>+'Data Entry'!C8</f>
        <v>PPAG</v>
      </c>
      <c r="F4" s="713"/>
      <c r="G4" s="713"/>
      <c r="H4" s="713"/>
      <c r="I4" s="713"/>
      <c r="J4" s="713"/>
      <c r="K4" s="713"/>
      <c r="L4" s="132" t="str">
        <f>+'Data Entry'!D16</f>
        <v>From:</v>
      </c>
      <c r="M4" s="200">
        <f>+IF(ISBLANK('Data Entry'!E16),"",'Data Entry'!E16)</f>
        <v>42278</v>
      </c>
      <c r="N4" s="200"/>
      <c r="O4" s="31"/>
    </row>
    <row r="5" spans="1:15" customFormat="1" ht="18.75" customHeight="1">
      <c r="A5" s="3"/>
      <c r="B5" s="132"/>
      <c r="C5" s="132"/>
      <c r="D5" s="133"/>
      <c r="E5" s="713" t="str">
        <f>+'Data Entry'!G4</f>
        <v>Reinforcing Scaling Up HIV Services:  Prevention &amp; Targetting</v>
      </c>
      <c r="F5" s="713"/>
      <c r="G5" s="713"/>
      <c r="H5" s="713"/>
      <c r="I5" s="713"/>
      <c r="J5" s="713"/>
      <c r="K5" s="713"/>
      <c r="L5" s="132" t="str">
        <f>+'Data Entry'!F16</f>
        <v>To:</v>
      </c>
      <c r="M5" s="200">
        <f>+IF(ISBLANK('Data Entry'!G16),"",'Data Entry'!G16)</f>
        <v>42369</v>
      </c>
      <c r="N5" s="200"/>
    </row>
    <row r="6" spans="1:15" customFormat="1" ht="22.5" customHeight="1">
      <c r="A6" s="3"/>
      <c r="B6" s="137"/>
      <c r="C6" s="138"/>
      <c r="D6" s="139"/>
      <c r="E6" s="825" t="s">
        <v>318</v>
      </c>
      <c r="F6" s="825"/>
      <c r="G6" s="825"/>
      <c r="H6" s="825"/>
      <c r="I6" s="825"/>
      <c r="J6" s="825"/>
      <c r="K6" s="825"/>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14" t="s">
        <v>105</v>
      </c>
      <c r="C8" s="814"/>
      <c r="D8" s="814"/>
      <c r="E8" s="814"/>
      <c r="F8" s="814"/>
      <c r="G8" s="814"/>
      <c r="H8" s="814"/>
      <c r="I8" s="814"/>
      <c r="J8" s="814"/>
      <c r="K8" s="814"/>
      <c r="L8" s="814"/>
      <c r="M8" s="814"/>
      <c r="N8" s="814"/>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06" t="s">
        <v>100</v>
      </c>
      <c r="C10" s="807"/>
      <c r="D10" s="831" t="s">
        <v>104</v>
      </c>
      <c r="E10" s="832"/>
      <c r="F10" s="832"/>
      <c r="G10" s="833"/>
      <c r="H10" s="160"/>
      <c r="I10" s="831" t="s">
        <v>318</v>
      </c>
      <c r="J10" s="832"/>
      <c r="K10" s="832"/>
      <c r="L10" s="832"/>
      <c r="M10" s="832"/>
      <c r="N10" s="833"/>
    </row>
    <row r="11" spans="1:15" s="34" customFormat="1" ht="28.5" customHeight="1">
      <c r="A11" s="157"/>
      <c r="B11" s="407" t="s">
        <v>108</v>
      </c>
      <c r="C11" s="177"/>
      <c r="D11" s="797" t="str">
        <f>IF(ISBLANK(Finance!C9),"",(Finance!C9))</f>
        <v/>
      </c>
      <c r="E11" s="797"/>
      <c r="F11" s="797"/>
      <c r="G11" s="798"/>
      <c r="H11" s="183"/>
      <c r="I11" s="834"/>
      <c r="J11" s="835"/>
      <c r="K11" s="835"/>
      <c r="L11" s="835"/>
      <c r="M11" s="835"/>
      <c r="N11" s="836"/>
    </row>
    <row r="12" spans="1:15" s="34" customFormat="1" ht="27.75" customHeight="1">
      <c r="A12" s="157"/>
      <c r="B12" s="408" t="s">
        <v>109</v>
      </c>
      <c r="C12" s="178"/>
      <c r="D12" s="797" t="str">
        <f>IF(ISBLANK(Finance!C23),"",(Finance!C23))</f>
        <v/>
      </c>
      <c r="E12" s="797"/>
      <c r="F12" s="797"/>
      <c r="G12" s="798"/>
      <c r="H12" s="183"/>
      <c r="I12" s="799"/>
      <c r="J12" s="800"/>
      <c r="K12" s="800"/>
      <c r="L12" s="800"/>
      <c r="M12" s="800"/>
      <c r="N12" s="801"/>
    </row>
    <row r="13" spans="1:15" s="34" customFormat="1" ht="26.25" customHeight="1">
      <c r="A13" s="157"/>
      <c r="B13" s="408" t="s">
        <v>110</v>
      </c>
      <c r="C13" s="178"/>
      <c r="D13" s="797" t="str">
        <f>IF(ISBLANK(Finance!I9),"",(Finance!I9))</f>
        <v/>
      </c>
      <c r="E13" s="797"/>
      <c r="F13" s="797"/>
      <c r="G13" s="798"/>
      <c r="H13" s="183"/>
      <c r="I13" s="799"/>
      <c r="J13" s="800"/>
      <c r="K13" s="800"/>
      <c r="L13" s="800"/>
      <c r="M13" s="800"/>
      <c r="N13" s="801"/>
    </row>
    <row r="14" spans="1:15" s="34" customFormat="1" ht="28.5" customHeight="1" thickBot="1">
      <c r="A14" s="157"/>
      <c r="B14" s="409" t="s">
        <v>111</v>
      </c>
      <c r="C14" s="179"/>
      <c r="D14" s="840" t="str">
        <f>IF(ISBLANK(Finance!I23),"",(Finance!I23))</f>
        <v/>
      </c>
      <c r="E14" s="840"/>
      <c r="F14" s="840"/>
      <c r="G14" s="841"/>
      <c r="H14" s="183"/>
      <c r="I14" s="808"/>
      <c r="J14" s="809"/>
      <c r="K14" s="809"/>
      <c r="L14" s="809"/>
      <c r="M14" s="809"/>
      <c r="N14" s="810"/>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14" t="s">
        <v>107</v>
      </c>
      <c r="C16" s="814"/>
      <c r="D16" s="814"/>
      <c r="E16" s="814"/>
      <c r="F16" s="814"/>
      <c r="G16" s="814"/>
      <c r="H16" s="814"/>
      <c r="I16" s="814"/>
      <c r="J16" s="814"/>
      <c r="K16" s="814"/>
      <c r="L16" s="814"/>
      <c r="M16" s="814"/>
      <c r="N16" s="814"/>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807" t="s">
        <v>101</v>
      </c>
      <c r="C18" s="816"/>
      <c r="D18" s="837" t="s">
        <v>104</v>
      </c>
      <c r="E18" s="838"/>
      <c r="F18" s="838"/>
      <c r="G18" s="839"/>
      <c r="H18" s="160"/>
      <c r="I18" s="811" t="s">
        <v>318</v>
      </c>
      <c r="J18" s="812"/>
      <c r="K18" s="812"/>
      <c r="L18" s="812"/>
      <c r="M18" s="813"/>
      <c r="N18" s="813"/>
    </row>
    <row r="19" spans="1:15" s="34" customFormat="1" ht="21.95" customHeight="1">
      <c r="A19" s="157"/>
      <c r="B19" s="410" t="s">
        <v>116</v>
      </c>
      <c r="C19" s="185"/>
      <c r="D19" s="826" t="str">
        <f>IF(ISBLANK(Management!C8),"",(Management!C8))</f>
        <v/>
      </c>
      <c r="E19" s="826"/>
      <c r="F19" s="826"/>
      <c r="G19" s="827"/>
      <c r="H19" s="186"/>
      <c r="I19" s="828"/>
      <c r="J19" s="829"/>
      <c r="K19" s="829"/>
      <c r="L19" s="829"/>
      <c r="M19" s="829"/>
      <c r="N19" s="830"/>
    </row>
    <row r="20" spans="1:15" ht="24.75" customHeight="1">
      <c r="A20" s="151"/>
      <c r="B20" s="411" t="s">
        <v>117</v>
      </c>
      <c r="C20" s="187"/>
      <c r="D20" s="797" t="str">
        <f>IF(ISBLANK(Management!I8),"",(Management!I8))</f>
        <v/>
      </c>
      <c r="E20" s="797">
        <f>+'Data Entry'!D73/'Data Entry'!G73</f>
        <v>1</v>
      </c>
      <c r="F20" s="797">
        <f>+('Data Entry'!E73+'Data Entry'!F73)/'Data Entry'!G73</f>
        <v>0</v>
      </c>
      <c r="G20" s="802"/>
      <c r="H20" s="186"/>
      <c r="I20" s="803"/>
      <c r="J20" s="804"/>
      <c r="K20" s="804"/>
      <c r="L20" s="804"/>
      <c r="M20" s="804"/>
      <c r="N20" s="805"/>
      <c r="O20" s="35"/>
    </row>
    <row r="21" spans="1:15" ht="29.25" customHeight="1">
      <c r="A21" s="151"/>
      <c r="B21" s="412" t="s">
        <v>118</v>
      </c>
      <c r="C21" s="187"/>
      <c r="D21" s="797" t="str">
        <f>IF(ISBLANK(Management!C16),"",(Management!C16))</f>
        <v/>
      </c>
      <c r="E21" s="797"/>
      <c r="F21" s="797"/>
      <c r="G21" s="802"/>
      <c r="H21" s="186"/>
      <c r="I21" s="803"/>
      <c r="J21" s="804"/>
      <c r="K21" s="804"/>
      <c r="L21" s="804"/>
      <c r="M21" s="804"/>
      <c r="N21" s="805"/>
      <c r="O21" s="35"/>
    </row>
    <row r="22" spans="1:15" ht="26.25" customHeight="1">
      <c r="A22" s="151"/>
      <c r="B22" s="412" t="s">
        <v>119</v>
      </c>
      <c r="C22" s="187"/>
      <c r="D22" s="797" t="str">
        <f>IF(ISBLANK(Management!I16),"",(Management!I16))</f>
        <v/>
      </c>
      <c r="E22" s="797"/>
      <c r="F22" s="797"/>
      <c r="G22" s="802"/>
      <c r="H22" s="186"/>
      <c r="I22" s="803"/>
      <c r="J22" s="804"/>
      <c r="K22" s="804"/>
      <c r="L22" s="804"/>
      <c r="M22" s="804"/>
      <c r="N22" s="805"/>
      <c r="O22" s="35"/>
    </row>
    <row r="23" spans="1:15" ht="24.75" customHeight="1">
      <c r="A23" s="151"/>
      <c r="B23" s="412" t="s">
        <v>120</v>
      </c>
      <c r="C23" s="187"/>
      <c r="D23" s="797" t="str">
        <f>IF(ISBLANK(Management!C27),"",(Management!C27))</f>
        <v>PR doesn't procure health products, equip't, medicines, pharmaceuticals.</v>
      </c>
      <c r="E23" s="797"/>
      <c r="F23" s="797"/>
      <c r="G23" s="802"/>
      <c r="H23" s="186"/>
      <c r="I23" s="803"/>
      <c r="J23" s="804"/>
      <c r="K23" s="804"/>
      <c r="L23" s="804"/>
      <c r="M23" s="804"/>
      <c r="N23" s="805"/>
      <c r="O23" s="35"/>
    </row>
    <row r="24" spans="1:15" ht="27" customHeight="1" thickBot="1">
      <c r="A24" s="151"/>
      <c r="B24" s="413" t="s">
        <v>122</v>
      </c>
      <c r="C24" s="188"/>
      <c r="D24" s="820" t="str">
        <f>IF(ISBLANK(Management!I27),"",(Management!I27))</f>
        <v/>
      </c>
      <c r="E24" s="820"/>
      <c r="F24" s="820"/>
      <c r="G24" s="821"/>
      <c r="H24" s="186"/>
      <c r="I24" s="791"/>
      <c r="J24" s="792"/>
      <c r="K24" s="792"/>
      <c r="L24" s="792"/>
      <c r="M24" s="792"/>
      <c r="N24" s="793"/>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14" t="s">
        <v>106</v>
      </c>
      <c r="C26" s="814"/>
      <c r="D26" s="814"/>
      <c r="E26" s="814"/>
      <c r="F26" s="814"/>
      <c r="G26" s="814"/>
      <c r="H26" s="814"/>
      <c r="I26" s="814"/>
      <c r="J26" s="814"/>
      <c r="K26" s="814"/>
      <c r="L26" s="814"/>
      <c r="M26" s="814"/>
      <c r="N26" s="814"/>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06" t="s">
        <v>14</v>
      </c>
      <c r="C28" s="816"/>
      <c r="D28" s="794" t="s">
        <v>104</v>
      </c>
      <c r="E28" s="795"/>
      <c r="F28" s="795"/>
      <c r="G28" s="796"/>
      <c r="H28" s="160"/>
      <c r="I28" s="794" t="s">
        <v>318</v>
      </c>
      <c r="J28" s="795"/>
      <c r="K28" s="795"/>
      <c r="L28" s="795"/>
      <c r="M28" s="795"/>
      <c r="N28" s="796"/>
      <c r="O28" s="35"/>
    </row>
    <row r="29" spans="1:15" ht="29.25" customHeight="1">
      <c r="A29" s="151"/>
      <c r="B29" s="414" t="s">
        <v>319</v>
      </c>
      <c r="C29" s="189"/>
      <c r="D29" s="822" t="str">
        <f>IF(ISBLANK(Programmatic!C9),"",(Programmatic!C9))</f>
        <v/>
      </c>
      <c r="E29" s="823"/>
      <c r="F29" s="823"/>
      <c r="G29" s="824"/>
      <c r="H29" s="186"/>
      <c r="I29" s="817"/>
      <c r="J29" s="818"/>
      <c r="K29" s="818"/>
      <c r="L29" s="818"/>
      <c r="M29" s="818"/>
      <c r="N29" s="819"/>
      <c r="O29" s="35"/>
    </row>
    <row r="30" spans="1:15" ht="21.95" customHeight="1">
      <c r="A30" s="151"/>
      <c r="B30" s="415" t="s">
        <v>320</v>
      </c>
      <c r="C30" s="190"/>
      <c r="D30" s="815" t="str">
        <f>IF(ISBLANK(Programmatic!G9),"",(Programmatic!G9))</f>
        <v/>
      </c>
      <c r="E30" s="789"/>
      <c r="F30" s="789"/>
      <c r="G30" s="790"/>
      <c r="H30" s="186"/>
      <c r="I30" s="785"/>
      <c r="J30" s="786"/>
      <c r="K30" s="786"/>
      <c r="L30" s="786"/>
      <c r="M30" s="786"/>
      <c r="N30" s="787"/>
      <c r="O30" s="35"/>
    </row>
    <row r="31" spans="1:15" ht="21.95" customHeight="1">
      <c r="A31" s="151"/>
      <c r="B31" s="415" t="s">
        <v>321</v>
      </c>
      <c r="C31" s="190"/>
      <c r="D31" s="815" t="str">
        <f>IF(ISBLANK(Programmatic!M9),"",(Programmatic!M9))</f>
        <v/>
      </c>
      <c r="E31" s="789"/>
      <c r="F31" s="789"/>
      <c r="G31" s="790"/>
      <c r="H31" s="186"/>
      <c r="I31" s="785"/>
      <c r="J31" s="786"/>
      <c r="K31" s="786"/>
      <c r="L31" s="786"/>
      <c r="M31" s="786"/>
      <c r="N31" s="787"/>
      <c r="O31" s="35"/>
    </row>
    <row r="32" spans="1:15" ht="21.95" customHeight="1">
      <c r="A32" s="151"/>
      <c r="B32" s="416" t="s">
        <v>112</v>
      </c>
      <c r="C32" s="190"/>
      <c r="D32" s="788" t="str">
        <f>IF(ISBLANK(Programmatic!L20),"",(Programmatic!L20))</f>
        <v xml:space="preserve">PR intensified its education through peer education and drama activities to reach out to Inmates since target was not met last quarter and more inmates were available to be educated in the reported period.
</v>
      </c>
      <c r="E32" s="789"/>
      <c r="F32" s="789"/>
      <c r="G32" s="790"/>
      <c r="H32" s="186"/>
      <c r="I32" s="785"/>
      <c r="J32" s="786"/>
      <c r="K32" s="786"/>
      <c r="L32" s="786"/>
      <c r="M32" s="786"/>
      <c r="N32" s="787"/>
      <c r="O32" s="35"/>
    </row>
    <row r="33" spans="1:15" ht="27" customHeight="1">
      <c r="A33" s="151"/>
      <c r="B33" s="416" t="s">
        <v>113</v>
      </c>
      <c r="C33" s="190"/>
      <c r="D33" s="788" t="str">
        <f>IF(ISBLANK(Programmatic!L21),"",(Programmatic!L21))</f>
        <v xml:space="preserve">Intensified education on benefits of know your status and the availability of test kits made it to possible obtain this achievement. 
</v>
      </c>
      <c r="E33" s="789"/>
      <c r="F33" s="789"/>
      <c r="G33" s="790"/>
      <c r="H33" s="186"/>
      <c r="I33" s="785"/>
      <c r="J33" s="786"/>
      <c r="K33" s="786"/>
      <c r="L33" s="786"/>
      <c r="M33" s="786"/>
      <c r="N33" s="787"/>
      <c r="O33" s="35"/>
    </row>
    <row r="34" spans="1:15" ht="21.95" customHeight="1">
      <c r="A34" s="151"/>
      <c r="B34" s="416" t="s">
        <v>114</v>
      </c>
      <c r="C34" s="190"/>
      <c r="D34" s="788" t="str">
        <f>IF(ISBLANK(Programmatic!L22),"",(Programmatic!L22))</f>
        <v/>
      </c>
      <c r="E34" s="789"/>
      <c r="F34" s="789"/>
      <c r="G34" s="790"/>
      <c r="H34" s="186"/>
      <c r="I34" s="785"/>
      <c r="J34" s="786"/>
      <c r="K34" s="786"/>
      <c r="L34" s="786"/>
      <c r="M34" s="786"/>
      <c r="N34" s="787"/>
      <c r="O34" s="35"/>
    </row>
    <row r="35" spans="1:15" ht="21.95" customHeight="1">
      <c r="A35" s="151"/>
      <c r="B35" s="416" t="s">
        <v>115</v>
      </c>
      <c r="C35" s="232"/>
      <c r="D35" s="788" t="str">
        <f>IF(ISBLANK(Programmatic!L23),"",(Programmatic!L23))</f>
        <v/>
      </c>
      <c r="E35" s="789"/>
      <c r="F35" s="789"/>
      <c r="G35" s="790"/>
      <c r="H35" s="186"/>
      <c r="I35" s="785"/>
      <c r="J35" s="786"/>
      <c r="K35" s="786"/>
      <c r="L35" s="786"/>
      <c r="M35" s="786"/>
      <c r="N35" s="787"/>
      <c r="O35" s="35"/>
    </row>
    <row r="36" spans="1:15" ht="21.95" customHeight="1">
      <c r="A36" s="151"/>
      <c r="B36" s="416" t="s">
        <v>127</v>
      </c>
      <c r="C36" s="232"/>
      <c r="D36" s="788" t="str">
        <f>IF(ISBLANK(Programmatic!L24),"",(Programmatic!L24))</f>
        <v/>
      </c>
      <c r="E36" s="789"/>
      <c r="F36" s="789"/>
      <c r="G36" s="790"/>
      <c r="H36" s="186"/>
      <c r="I36" s="785"/>
      <c r="J36" s="786"/>
      <c r="K36" s="786"/>
      <c r="L36" s="786"/>
      <c r="M36" s="786"/>
      <c r="N36" s="787"/>
      <c r="O36" s="35"/>
    </row>
    <row r="37" spans="1:15" ht="21.95" customHeight="1">
      <c r="A37" s="151"/>
      <c r="B37" s="416" t="s">
        <v>128</v>
      </c>
      <c r="C37" s="232"/>
      <c r="D37" s="788" t="str">
        <f>IF(ISBLANK(Programmatic!L25),"",(Programmatic!L25))</f>
        <v/>
      </c>
      <c r="E37" s="789"/>
      <c r="F37" s="789"/>
      <c r="G37" s="790"/>
      <c r="H37" s="186"/>
      <c r="I37" s="785"/>
      <c r="J37" s="786"/>
      <c r="K37" s="786"/>
      <c r="L37" s="786"/>
      <c r="M37" s="786"/>
      <c r="N37" s="787"/>
      <c r="O37" s="35"/>
    </row>
    <row r="38" spans="1:15" ht="21.95" customHeight="1">
      <c r="A38" s="151"/>
      <c r="B38" s="416" t="s">
        <v>129</v>
      </c>
      <c r="C38" s="232"/>
      <c r="D38" s="788" t="str">
        <f>IF(ISBLANK(Programmatic!L26),"",(Programmatic!L26))</f>
        <v/>
      </c>
      <c r="E38" s="789"/>
      <c r="F38" s="789"/>
      <c r="G38" s="790"/>
      <c r="H38" s="186"/>
      <c r="I38" s="785"/>
      <c r="J38" s="786"/>
      <c r="K38" s="786"/>
      <c r="L38" s="786"/>
      <c r="M38" s="786"/>
      <c r="N38" s="787"/>
      <c r="O38" s="35"/>
    </row>
    <row r="39" spans="1:15" ht="21.95" customHeight="1">
      <c r="A39" s="151"/>
      <c r="B39" s="416" t="s">
        <v>130</v>
      </c>
      <c r="C39" s="232"/>
      <c r="D39" s="788" t="str">
        <f>IF(ISBLANK(Programmatic!L27),"",(Programmatic!L27))</f>
        <v/>
      </c>
      <c r="E39" s="789"/>
      <c r="F39" s="789"/>
      <c r="G39" s="790"/>
      <c r="H39" s="186"/>
      <c r="I39" s="785"/>
      <c r="J39" s="786"/>
      <c r="K39" s="786"/>
      <c r="L39" s="786"/>
      <c r="M39" s="786"/>
      <c r="N39" s="787"/>
      <c r="O39" s="35"/>
    </row>
    <row r="40" spans="1:15" ht="21.95" customHeight="1">
      <c r="A40" s="151"/>
      <c r="B40" s="416" t="s">
        <v>131</v>
      </c>
      <c r="C40" s="232"/>
      <c r="D40" s="788" t="str">
        <f>IF(ISBLANK(Programmatic!L28),"",(Programmatic!L28))</f>
        <v/>
      </c>
      <c r="E40" s="789"/>
      <c r="F40" s="789"/>
      <c r="G40" s="790"/>
      <c r="H40" s="186"/>
      <c r="I40" s="785"/>
      <c r="J40" s="786"/>
      <c r="K40" s="786"/>
      <c r="L40" s="786"/>
      <c r="M40" s="786"/>
      <c r="N40" s="787"/>
      <c r="O40" s="35"/>
    </row>
    <row r="41" spans="1:15" ht="21.95" customHeight="1" thickBot="1">
      <c r="A41" s="151"/>
      <c r="B41" s="416" t="s">
        <v>132</v>
      </c>
      <c r="C41" s="191"/>
      <c r="D41" s="788" t="str">
        <f>IF(ISBLANK(Programmatic!L29),"",(Programmatic!L29))</f>
        <v/>
      </c>
      <c r="E41" s="789"/>
      <c r="F41" s="789"/>
      <c r="G41" s="790"/>
      <c r="H41" s="186"/>
      <c r="I41" s="782"/>
      <c r="J41" s="783"/>
      <c r="K41" s="783"/>
      <c r="L41" s="783"/>
      <c r="M41" s="783"/>
      <c r="N41" s="784"/>
      <c r="O41" s="35"/>
    </row>
    <row r="42" spans="1:15" ht="14.25">
      <c r="A42" s="151"/>
      <c r="B42" s="192"/>
      <c r="C42" s="192"/>
      <c r="D42" s="193"/>
      <c r="E42" s="151"/>
      <c r="F42" s="192"/>
      <c r="G42" s="192"/>
      <c r="H42" s="151"/>
      <c r="I42" s="194"/>
      <c r="J42" s="151"/>
      <c r="K42" s="195"/>
      <c r="L42" s="195"/>
      <c r="M42" s="195"/>
      <c r="N42" s="195"/>
      <c r="O42" s="35"/>
    </row>
  </sheetData>
  <sheetProtection password="CFC9" sheet="1"/>
  <mergeCells count="65">
    <mergeCell ref="B8:N8"/>
    <mergeCell ref="I20:N20"/>
    <mergeCell ref="D19:G19"/>
    <mergeCell ref="D21:G21"/>
    <mergeCell ref="D20:G20"/>
    <mergeCell ref="I21:N21"/>
    <mergeCell ref="I19:N19"/>
    <mergeCell ref="B18:C18"/>
    <mergeCell ref="D10:G10"/>
    <mergeCell ref="D13:G13"/>
    <mergeCell ref="I11:N11"/>
    <mergeCell ref="D18:G18"/>
    <mergeCell ref="B16:N16"/>
    <mergeCell ref="D14:G14"/>
    <mergeCell ref="I10:N10"/>
    <mergeCell ref="I13:N13"/>
    <mergeCell ref="B2:N2"/>
    <mergeCell ref="E5:K5"/>
    <mergeCell ref="E6:K6"/>
    <mergeCell ref="E3:K3"/>
    <mergeCell ref="C4:D4"/>
    <mergeCell ref="E4:K4"/>
    <mergeCell ref="C3:D3"/>
    <mergeCell ref="B10:C10"/>
    <mergeCell ref="D11:G11"/>
    <mergeCell ref="D36:G36"/>
    <mergeCell ref="D34:G34"/>
    <mergeCell ref="I32:N32"/>
    <mergeCell ref="I14:N14"/>
    <mergeCell ref="I18:N18"/>
    <mergeCell ref="B26:N26"/>
    <mergeCell ref="D23:G23"/>
    <mergeCell ref="D30:G30"/>
    <mergeCell ref="D31:G31"/>
    <mergeCell ref="B28:C28"/>
    <mergeCell ref="I29:N29"/>
    <mergeCell ref="D24:G24"/>
    <mergeCell ref="D29:G29"/>
    <mergeCell ref="D28:G28"/>
    <mergeCell ref="I24:N24"/>
    <mergeCell ref="I28:N28"/>
    <mergeCell ref="D32:G32"/>
    <mergeCell ref="I30:N30"/>
    <mergeCell ref="D12:G12"/>
    <mergeCell ref="I12:N12"/>
    <mergeCell ref="D22:G22"/>
    <mergeCell ref="I23:N23"/>
    <mergeCell ref="I22:N22"/>
    <mergeCell ref="I31:N31"/>
    <mergeCell ref="I41:N41"/>
    <mergeCell ref="I35:N35"/>
    <mergeCell ref="D33:G33"/>
    <mergeCell ref="I36:N36"/>
    <mergeCell ref="I38:N38"/>
    <mergeCell ref="D41:G41"/>
    <mergeCell ref="I40:N40"/>
    <mergeCell ref="D40:G40"/>
    <mergeCell ref="D38:G38"/>
    <mergeCell ref="D37:G37"/>
    <mergeCell ref="D39:G39"/>
    <mergeCell ref="I39:N39"/>
    <mergeCell ref="D35:G35"/>
    <mergeCell ref="I33:N33"/>
    <mergeCell ref="I37:N37"/>
    <mergeCell ref="I34:N34"/>
  </mergeCells>
  <phoneticPr fontId="32"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0" zoomScaleNormal="110" zoomScaleSheetLayoutView="100" workbookViewId="0">
      <selection activeCell="L4" sqref="L4"/>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35" t="str">
        <f>'Grant Detail'!B3:J3</f>
        <v>Dashboard:  Ghana - HIV / AIDS  (PPAG)</v>
      </c>
      <c r="C2" s="735"/>
      <c r="D2" s="735"/>
      <c r="E2" s="735"/>
      <c r="F2" s="735"/>
      <c r="G2" s="735"/>
      <c r="H2" s="735"/>
      <c r="I2" s="735"/>
      <c r="J2" s="735"/>
      <c r="K2" s="735"/>
      <c r="L2" s="735"/>
    </row>
    <row r="3" spans="1:13">
      <c r="B3" s="24" t="str">
        <f>+IF('Data Entry'!G8="Please Select","",'Data Entry'!G8)</f>
        <v/>
      </c>
      <c r="C3" s="733" t="str">
        <f>+IF('Data Entry'!I8="Please Select","",'Data Entry'!I8)</f>
        <v/>
      </c>
      <c r="D3" s="733"/>
      <c r="E3" s="734"/>
      <c r="F3" s="734"/>
      <c r="G3" s="734"/>
      <c r="H3" s="734"/>
      <c r="I3" s="734"/>
      <c r="J3" s="737" t="str">
        <f>+'Data Entry'!B16</f>
        <v>Report Period:</v>
      </c>
      <c r="K3" s="737"/>
      <c r="L3" s="199" t="str">
        <f>+'Data Entry'!C16</f>
        <v>P2</v>
      </c>
      <c r="M3" s="85"/>
    </row>
    <row r="4" spans="1:13">
      <c r="B4" s="24" t="str">
        <f>+'Data Entry'!B12</f>
        <v>Latest Rating:</v>
      </c>
      <c r="C4" s="848" t="str">
        <f>+IF('Data Entry'!C12="Please Select","",'Data Entry'!C12)</f>
        <v>A1</v>
      </c>
      <c r="D4" s="848"/>
      <c r="E4" s="734" t="str">
        <f>+'Data Entry'!C8</f>
        <v>PPAG</v>
      </c>
      <c r="F4" s="734"/>
      <c r="G4" s="734"/>
      <c r="H4" s="734"/>
      <c r="I4" s="734"/>
      <c r="J4" s="737" t="str">
        <f>+'Data Entry'!D16</f>
        <v>From:</v>
      </c>
      <c r="K4" s="741"/>
      <c r="L4" s="200">
        <f>+IF(ISBLANK('Data Entry'!E16),"",'Data Entry'!E16)</f>
        <v>42278</v>
      </c>
    </row>
    <row r="5" spans="1:13" ht="18.75" customHeight="1">
      <c r="B5" s="24"/>
      <c r="C5" s="24"/>
      <c r="D5" s="734" t="str">
        <f>+'Data Entry'!G4</f>
        <v>Reinforcing Scaling Up HIV Services:  Prevention &amp; Targetting</v>
      </c>
      <c r="E5" s="734"/>
      <c r="F5" s="734"/>
      <c r="G5" s="734"/>
      <c r="H5" s="734"/>
      <c r="I5" s="734"/>
      <c r="J5" s="734"/>
      <c r="K5" s="24" t="str">
        <f>+'Data Entry'!F16</f>
        <v>To:</v>
      </c>
      <c r="L5" s="200">
        <f>+IF(ISBLANK('Data Entry'!G16),"",'Data Entry'!G16)</f>
        <v>42369</v>
      </c>
    </row>
    <row r="6" spans="1:13" ht="18.75">
      <c r="B6" s="23"/>
      <c r="C6" s="24"/>
      <c r="D6" s="25"/>
      <c r="E6" s="736" t="s">
        <v>359</v>
      </c>
      <c r="F6" s="736"/>
      <c r="G6" s="736"/>
      <c r="H6" s="736"/>
      <c r="I6" s="736"/>
    </row>
    <row r="7" spans="1:13" ht="18.75">
      <c r="E7" s="72"/>
      <c r="F7" s="72"/>
      <c r="G7" s="72"/>
      <c r="H7" s="72"/>
      <c r="I7" s="72"/>
    </row>
    <row r="8" spans="1:13" s="33" customFormat="1" ht="21" customHeight="1" thickBot="1">
      <c r="B8" s="76" t="s">
        <v>102</v>
      </c>
      <c r="C8" s="76"/>
      <c r="D8" s="76"/>
      <c r="E8" s="76"/>
      <c r="F8" s="76"/>
      <c r="G8" s="76"/>
      <c r="H8" s="76"/>
      <c r="I8" s="76"/>
      <c r="J8" s="76"/>
      <c r="K8" s="76"/>
      <c r="L8" s="76"/>
    </row>
    <row r="9" spans="1:13" ht="6" customHeight="1">
      <c r="B9" s="74"/>
    </row>
    <row r="10" spans="1:13">
      <c r="B10" s="856"/>
      <c r="C10" s="857"/>
      <c r="D10" s="857"/>
      <c r="E10" s="857"/>
      <c r="F10" s="857"/>
      <c r="G10" s="857"/>
      <c r="H10" s="857"/>
      <c r="I10" s="857"/>
      <c r="J10" s="857"/>
      <c r="K10" s="857"/>
      <c r="L10" s="858"/>
    </row>
    <row r="11" spans="1:13">
      <c r="B11" s="859"/>
      <c r="C11" s="860"/>
      <c r="D11" s="860"/>
      <c r="E11" s="860"/>
      <c r="F11" s="860"/>
      <c r="G11" s="860"/>
      <c r="H11" s="860"/>
      <c r="I11" s="860"/>
      <c r="J11" s="860"/>
      <c r="K11" s="860"/>
      <c r="L11" s="861"/>
    </row>
    <row r="12" spans="1:13" ht="15.75" thickBot="1"/>
    <row r="13" spans="1:13" ht="26.25" customHeight="1" thickBot="1">
      <c r="B13" s="853" t="s">
        <v>309</v>
      </c>
      <c r="C13" s="854"/>
      <c r="D13" s="854"/>
      <c r="E13" s="855"/>
      <c r="F13" s="77"/>
      <c r="G13" s="862" t="s">
        <v>135</v>
      </c>
      <c r="H13" s="863"/>
      <c r="I13" s="863"/>
      <c r="J13" s="78" t="s">
        <v>103</v>
      </c>
      <c r="K13" s="863" t="s">
        <v>298</v>
      </c>
      <c r="L13" s="864"/>
    </row>
    <row r="14" spans="1:13">
      <c r="A14" s="879" t="s">
        <v>310</v>
      </c>
      <c r="B14" s="866"/>
      <c r="C14" s="866"/>
      <c r="D14" s="866"/>
      <c r="E14" s="867"/>
      <c r="F14" s="46"/>
      <c r="G14" s="893"/>
      <c r="H14" s="849"/>
      <c r="I14" s="849"/>
      <c r="J14" s="849"/>
      <c r="K14" s="849"/>
      <c r="L14" s="850"/>
    </row>
    <row r="15" spans="1:13">
      <c r="A15" s="880"/>
      <c r="B15" s="866"/>
      <c r="C15" s="866"/>
      <c r="D15" s="866"/>
      <c r="E15" s="867"/>
      <c r="F15" s="46"/>
      <c r="G15" s="865"/>
      <c r="H15" s="851"/>
      <c r="I15" s="851"/>
      <c r="J15" s="851"/>
      <c r="K15" s="851"/>
      <c r="L15" s="852"/>
    </row>
    <row r="16" spans="1:13">
      <c r="A16" s="880"/>
      <c r="B16" s="866"/>
      <c r="C16" s="866"/>
      <c r="D16" s="866"/>
      <c r="E16" s="867"/>
      <c r="F16" s="46"/>
      <c r="G16" s="865"/>
      <c r="H16" s="851"/>
      <c r="I16" s="851"/>
      <c r="J16" s="851"/>
      <c r="K16" s="851"/>
      <c r="L16" s="852"/>
    </row>
    <row r="17" spans="1:12">
      <c r="A17" s="880"/>
      <c r="B17" s="866"/>
      <c r="C17" s="866"/>
      <c r="D17" s="866"/>
      <c r="E17" s="867"/>
      <c r="F17" s="46"/>
      <c r="G17" s="865"/>
      <c r="H17" s="851"/>
      <c r="I17" s="851"/>
      <c r="J17" s="851"/>
      <c r="K17" s="851"/>
      <c r="L17" s="852"/>
    </row>
    <row r="18" spans="1:12">
      <c r="A18" s="880"/>
      <c r="B18" s="866"/>
      <c r="C18" s="866"/>
      <c r="D18" s="866"/>
      <c r="E18" s="867"/>
      <c r="F18" s="46"/>
      <c r="G18" s="869"/>
      <c r="H18" s="870"/>
      <c r="I18" s="871"/>
      <c r="J18" s="851"/>
      <c r="K18" s="851"/>
      <c r="L18" s="852"/>
    </row>
    <row r="19" spans="1:12" ht="30.75" customHeight="1">
      <c r="A19" s="880"/>
      <c r="B19" s="866"/>
      <c r="C19" s="866"/>
      <c r="D19" s="866"/>
      <c r="E19" s="867"/>
      <c r="F19" s="46"/>
      <c r="G19" s="872"/>
      <c r="H19" s="873"/>
      <c r="I19" s="874"/>
      <c r="J19" s="851"/>
      <c r="K19" s="851"/>
      <c r="L19" s="852"/>
    </row>
    <row r="20" spans="1:12">
      <c r="A20" s="880"/>
      <c r="B20" s="866"/>
      <c r="C20" s="866"/>
      <c r="D20" s="866"/>
      <c r="E20" s="867"/>
      <c r="F20" s="46"/>
      <c r="G20" s="865"/>
      <c r="H20" s="851"/>
      <c r="I20" s="851"/>
      <c r="J20" s="851"/>
      <c r="K20" s="851"/>
      <c r="L20" s="852"/>
    </row>
    <row r="21" spans="1:12">
      <c r="A21" s="880"/>
      <c r="B21" s="866"/>
      <c r="C21" s="866"/>
      <c r="D21" s="866"/>
      <c r="E21" s="867"/>
      <c r="F21" s="46"/>
      <c r="G21" s="865"/>
      <c r="H21" s="851"/>
      <c r="I21" s="851"/>
      <c r="J21" s="851"/>
      <c r="K21" s="851"/>
      <c r="L21" s="852"/>
    </row>
    <row r="22" spans="1:12">
      <c r="A22" s="880"/>
      <c r="B22" s="866"/>
      <c r="C22" s="866"/>
      <c r="D22" s="866"/>
      <c r="E22" s="867"/>
      <c r="F22" s="46"/>
      <c r="G22" s="865"/>
      <c r="H22" s="851"/>
      <c r="I22" s="851"/>
      <c r="J22" s="851"/>
      <c r="K22" s="851"/>
      <c r="L22" s="852"/>
    </row>
    <row r="23" spans="1:12">
      <c r="A23" s="880"/>
      <c r="B23" s="866"/>
      <c r="C23" s="866"/>
      <c r="D23" s="866"/>
      <c r="E23" s="867"/>
      <c r="F23" s="46"/>
      <c r="G23" s="865"/>
      <c r="H23" s="851"/>
      <c r="I23" s="851"/>
      <c r="J23" s="851"/>
      <c r="K23" s="851"/>
      <c r="L23" s="852"/>
    </row>
    <row r="24" spans="1:12">
      <c r="A24" s="880"/>
      <c r="B24" s="866"/>
      <c r="C24" s="866"/>
      <c r="D24" s="866"/>
      <c r="E24" s="867"/>
      <c r="F24" s="46"/>
      <c r="G24" s="865"/>
      <c r="H24" s="851"/>
      <c r="I24" s="851"/>
      <c r="J24" s="851"/>
      <c r="K24" s="851"/>
      <c r="L24" s="852"/>
    </row>
    <row r="25" spans="1:12" ht="15.75" thickBot="1">
      <c r="A25" s="881"/>
      <c r="B25" s="895"/>
      <c r="C25" s="895"/>
      <c r="D25" s="895"/>
      <c r="E25" s="896"/>
      <c r="F25" s="46"/>
      <c r="G25" s="878"/>
      <c r="H25" s="875"/>
      <c r="I25" s="875"/>
      <c r="J25" s="875"/>
      <c r="K25" s="875"/>
      <c r="L25" s="876"/>
    </row>
    <row r="27" spans="1:12" ht="18.75">
      <c r="E27" s="894" t="s">
        <v>335</v>
      </c>
      <c r="F27" s="894"/>
      <c r="G27" s="894"/>
      <c r="H27" s="894"/>
      <c r="I27" s="894"/>
    </row>
    <row r="28" spans="1:12" ht="6" customHeight="1">
      <c r="E28" s="72"/>
      <c r="F28" s="72"/>
      <c r="G28" s="72"/>
      <c r="H28" s="72"/>
      <c r="I28" s="72"/>
    </row>
    <row r="29" spans="1:12" s="33" customFormat="1" ht="21" customHeight="1" thickBot="1">
      <c r="B29" s="76" t="s">
        <v>390</v>
      </c>
      <c r="C29" s="76"/>
      <c r="D29" s="76"/>
      <c r="E29" s="76"/>
      <c r="F29" s="76"/>
      <c r="G29" s="76"/>
      <c r="H29" s="76"/>
      <c r="I29" s="76"/>
      <c r="J29" s="76"/>
      <c r="K29" s="76"/>
      <c r="L29" s="76"/>
    </row>
    <row r="30" spans="1:12" ht="6" customHeight="1" thickBot="1">
      <c r="B30" s="74"/>
    </row>
    <row r="31" spans="1:12" ht="21.75" customHeight="1" thickBot="1">
      <c r="B31" s="853" t="s">
        <v>135</v>
      </c>
      <c r="C31" s="854"/>
      <c r="D31" s="854"/>
      <c r="E31" s="855"/>
      <c r="F31" s="77"/>
      <c r="G31" s="862" t="s">
        <v>323</v>
      </c>
      <c r="H31" s="863"/>
      <c r="I31" s="863"/>
      <c r="J31" s="78" t="s">
        <v>300</v>
      </c>
      <c r="K31" s="863" t="s">
        <v>298</v>
      </c>
      <c r="L31" s="864"/>
    </row>
    <row r="32" spans="1:12" ht="14.25" customHeight="1">
      <c r="A32" s="879" t="s">
        <v>311</v>
      </c>
      <c r="B32" s="889"/>
      <c r="C32" s="890"/>
      <c r="D32" s="890"/>
      <c r="E32" s="891"/>
      <c r="F32" s="46"/>
      <c r="G32" s="877"/>
      <c r="H32" s="846"/>
      <c r="I32" s="846"/>
      <c r="J32" s="846"/>
      <c r="K32" s="846"/>
      <c r="L32" s="847"/>
    </row>
    <row r="33" spans="1:12" ht="16.5" customHeight="1">
      <c r="A33" s="880"/>
      <c r="B33" s="872"/>
      <c r="C33" s="873"/>
      <c r="D33" s="873"/>
      <c r="E33" s="892"/>
      <c r="F33" s="46"/>
      <c r="G33" s="868"/>
      <c r="H33" s="842"/>
      <c r="I33" s="842"/>
      <c r="J33" s="842"/>
      <c r="K33" s="842"/>
      <c r="L33" s="843"/>
    </row>
    <row r="34" spans="1:12">
      <c r="A34" s="880"/>
      <c r="B34" s="882" t="str">
        <f>IF(Recommendations!I43="","",Recommendations!I43)</f>
        <v/>
      </c>
      <c r="C34" s="883"/>
      <c r="D34" s="883"/>
      <c r="E34" s="884"/>
      <c r="F34" s="46"/>
      <c r="G34" s="868"/>
      <c r="H34" s="842"/>
      <c r="I34" s="842"/>
      <c r="J34" s="842"/>
      <c r="K34" s="842"/>
      <c r="L34" s="843"/>
    </row>
    <row r="35" spans="1:12">
      <c r="A35" s="880"/>
      <c r="B35" s="882"/>
      <c r="C35" s="883"/>
      <c r="D35" s="883"/>
      <c r="E35" s="884"/>
      <c r="F35" s="46"/>
      <c r="G35" s="868"/>
      <c r="H35" s="842"/>
      <c r="I35" s="842"/>
      <c r="J35" s="842"/>
      <c r="K35" s="842"/>
      <c r="L35" s="843"/>
    </row>
    <row r="36" spans="1:12">
      <c r="A36" s="880"/>
      <c r="B36" s="882" t="str">
        <f>+IF(Recommendations!I53="","",Recommendations!I53)</f>
        <v/>
      </c>
      <c r="C36" s="883"/>
      <c r="D36" s="883"/>
      <c r="E36" s="884"/>
      <c r="F36" s="46"/>
      <c r="G36" s="868"/>
      <c r="H36" s="842"/>
      <c r="I36" s="842"/>
      <c r="J36" s="842"/>
      <c r="K36" s="842"/>
      <c r="L36" s="843"/>
    </row>
    <row r="37" spans="1:12">
      <c r="A37" s="880"/>
      <c r="B37" s="882"/>
      <c r="C37" s="883"/>
      <c r="D37" s="883"/>
      <c r="E37" s="884"/>
      <c r="F37" s="46"/>
      <c r="G37" s="868"/>
      <c r="H37" s="842"/>
      <c r="I37" s="842"/>
      <c r="J37" s="842"/>
      <c r="K37" s="842"/>
      <c r="L37" s="843"/>
    </row>
    <row r="38" spans="1:12">
      <c r="A38" s="880"/>
      <c r="B38" s="882"/>
      <c r="C38" s="883"/>
      <c r="D38" s="883"/>
      <c r="E38" s="884"/>
      <c r="F38" s="46"/>
      <c r="G38" s="868"/>
      <c r="H38" s="842"/>
      <c r="I38" s="842"/>
      <c r="J38" s="842"/>
      <c r="K38" s="842"/>
      <c r="L38" s="843"/>
    </row>
    <row r="39" spans="1:12">
      <c r="A39" s="880"/>
      <c r="B39" s="882"/>
      <c r="C39" s="883"/>
      <c r="D39" s="883"/>
      <c r="E39" s="884"/>
      <c r="F39" s="46"/>
      <c r="G39" s="868"/>
      <c r="H39" s="842"/>
      <c r="I39" s="842"/>
      <c r="J39" s="842"/>
      <c r="K39" s="842"/>
      <c r="L39" s="843"/>
    </row>
    <row r="40" spans="1:12">
      <c r="A40" s="880"/>
      <c r="B40" s="882"/>
      <c r="C40" s="883"/>
      <c r="D40" s="883"/>
      <c r="E40" s="884"/>
      <c r="F40" s="46"/>
      <c r="G40" s="868"/>
      <c r="H40" s="842"/>
      <c r="I40" s="842"/>
      <c r="J40" s="842"/>
      <c r="K40" s="842"/>
      <c r="L40" s="843"/>
    </row>
    <row r="41" spans="1:12">
      <c r="A41" s="880"/>
      <c r="B41" s="882"/>
      <c r="C41" s="883"/>
      <c r="D41" s="883"/>
      <c r="E41" s="884"/>
      <c r="F41" s="46"/>
      <c r="G41" s="868"/>
      <c r="H41" s="842"/>
      <c r="I41" s="842"/>
      <c r="J41" s="842"/>
      <c r="K41" s="842"/>
      <c r="L41" s="843"/>
    </row>
    <row r="42" spans="1:12">
      <c r="A42" s="880"/>
      <c r="B42" s="882"/>
      <c r="C42" s="883"/>
      <c r="D42" s="883"/>
      <c r="E42" s="884"/>
      <c r="F42" s="46"/>
      <c r="G42" s="868"/>
      <c r="H42" s="842"/>
      <c r="I42" s="842"/>
      <c r="J42" s="842"/>
      <c r="K42" s="842"/>
      <c r="L42" s="843"/>
    </row>
    <row r="43" spans="1:12" ht="15.75" thickBot="1">
      <c r="A43" s="881"/>
      <c r="B43" s="885"/>
      <c r="C43" s="886"/>
      <c r="D43" s="886"/>
      <c r="E43" s="887"/>
      <c r="F43" s="46"/>
      <c r="G43" s="888"/>
      <c r="H43" s="844"/>
      <c r="I43" s="844"/>
      <c r="J43" s="844"/>
      <c r="K43" s="844"/>
      <c r="L43" s="845"/>
    </row>
  </sheetData>
  <sheetProtection password="CFC9" sheet="1"/>
  <mergeCells count="67">
    <mergeCell ref="A14:A25"/>
    <mergeCell ref="G14:I15"/>
    <mergeCell ref="G20:I21"/>
    <mergeCell ref="G22:I23"/>
    <mergeCell ref="E27:I27"/>
    <mergeCell ref="B16:E17"/>
    <mergeCell ref="B24:E25"/>
    <mergeCell ref="A32:A43"/>
    <mergeCell ref="B42:E43"/>
    <mergeCell ref="G42:I43"/>
    <mergeCell ref="B36:E37"/>
    <mergeCell ref="B32:E33"/>
    <mergeCell ref="G40:I41"/>
    <mergeCell ref="B38:E39"/>
    <mergeCell ref="B40:E41"/>
    <mergeCell ref="G36:I37"/>
    <mergeCell ref="B34:E35"/>
    <mergeCell ref="K22:L23"/>
    <mergeCell ref="K20:L21"/>
    <mergeCell ref="J24:J25"/>
    <mergeCell ref="J22:J23"/>
    <mergeCell ref="G38:I39"/>
    <mergeCell ref="K24:L25"/>
    <mergeCell ref="K31:L31"/>
    <mergeCell ref="G32:I33"/>
    <mergeCell ref="G24:I25"/>
    <mergeCell ref="G31:I31"/>
    <mergeCell ref="K34:L35"/>
    <mergeCell ref="B31:E31"/>
    <mergeCell ref="B14:E15"/>
    <mergeCell ref="G34:I35"/>
    <mergeCell ref="B18:E19"/>
    <mergeCell ref="J20:J21"/>
    <mergeCell ref="B22:E23"/>
    <mergeCell ref="B20:E21"/>
    <mergeCell ref="J18:J19"/>
    <mergeCell ref="G18:I19"/>
    <mergeCell ref="J32:J33"/>
    <mergeCell ref="J34:J35"/>
    <mergeCell ref="K18:L19"/>
    <mergeCell ref="J16:J17"/>
    <mergeCell ref="K16:L17"/>
    <mergeCell ref="E3:I3"/>
    <mergeCell ref="J3:K3"/>
    <mergeCell ref="E4:I4"/>
    <mergeCell ref="J4:K4"/>
    <mergeCell ref="E6:I6"/>
    <mergeCell ref="G16:I17"/>
    <mergeCell ref="J14:J15"/>
    <mergeCell ref="B2:L2"/>
    <mergeCell ref="C4:D4"/>
    <mergeCell ref="K14:L15"/>
    <mergeCell ref="C3:D3"/>
    <mergeCell ref="D5:J5"/>
    <mergeCell ref="B13:E13"/>
    <mergeCell ref="B10:L11"/>
    <mergeCell ref="G13:I13"/>
    <mergeCell ref="K13:L13"/>
    <mergeCell ref="K42:L43"/>
    <mergeCell ref="K36:L37"/>
    <mergeCell ref="K38:L39"/>
    <mergeCell ref="K32:L33"/>
    <mergeCell ref="J36:J37"/>
    <mergeCell ref="J40:J41"/>
    <mergeCell ref="J42:J43"/>
    <mergeCell ref="J38:J39"/>
    <mergeCell ref="K40:L41"/>
  </mergeCells>
  <phoneticPr fontId="32"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6990EB776044D947EDE9A0189F65C" ma:contentTypeVersion="0" ma:contentTypeDescription="Create a new document." ma:contentTypeScope="" ma:versionID="23d3626691962115744465cc6eb1662e">
  <xsd:schema xmlns:xsd="http://www.w3.org/2001/XMLSchema" xmlns:p="http://schemas.microsoft.com/office/2006/metadata/properties" targetNamespace="http://schemas.microsoft.com/office/2006/metadata/properties" ma:root="true" ma:fieldsID="08b182a363c05d457c0bb575f3942a5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8BE49358-73BD-47E4-8D36-B7F9F460F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9372BB-716F-49F1-AE24-00A73F05D03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Menu</vt:lpstr>
      <vt:lpstr>List of Indicators</vt:lpstr>
      <vt:lpstr>Data Entry</vt:lpstr>
      <vt:lpstr>Grant Detail</vt:lpstr>
      <vt:lpstr>Finance</vt:lpstr>
      <vt:lpstr>Management</vt:lpstr>
      <vt:lpstr>Programmatic</vt:lpstr>
      <vt:lpstr>Recommendations</vt:lpstr>
      <vt:lpstr>Actions</vt:lpstr>
      <vt:lpstr>Notes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MandE2</dc:creator>
  <cp:lastModifiedBy>ANNE-MARIE A GODWYLL</cp:lastModifiedBy>
  <cp:lastPrinted>2014-08-11T20:26:10Z</cp:lastPrinted>
  <dcterms:created xsi:type="dcterms:W3CDTF">2010-01-15T16:50:41Z</dcterms:created>
  <dcterms:modified xsi:type="dcterms:W3CDTF">2016-03-04T19:37:16Z</dcterms:modified>
</cp:coreProperties>
</file>