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35" tabRatio="688" firstSheet="1" activeTab="2"/>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Notes" sheetId="10" r:id="rId10"/>
    <sheet name="Setup" sheetId="11" state="hidden" r:id="rId11"/>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2">'Data Entry'!$A$25:$T$152</definedName>
    <definedName name="_xlnm.Print_Area" localSheetId="4">'Finance'!$A$2:$K$31</definedName>
    <definedName name="_xlnm.Print_Area" localSheetId="5">'Management'!$A$1:$L$34</definedName>
    <definedName name="_xlnm.Print_Area" localSheetId="6">'Programmatic'!$A$19:$Q$26</definedName>
    <definedName name="PrintA">'Actions'!$A$2:$L$34</definedName>
    <definedName name="PrintDataF">'Data Entry'!$B$25:$J$69</definedName>
    <definedName name="PrintDataM">'Data Entry'!$B$71:$H$115</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6" authorId="0">
      <text>
        <r>
          <rPr>
            <b/>
            <sz val="8"/>
            <rFont val="Tahoma"/>
            <family val="2"/>
          </rPr>
          <t xml:space="preserve">If data are not available, do not enter zeros; rather, leave the cells in the table blank. </t>
        </r>
      </text>
    </comment>
    <comment ref="B77"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83" authorId="1">
      <text>
        <r>
          <rPr>
            <sz val="8"/>
            <rFont val="Tahoma"/>
            <family val="2"/>
          </rPr>
          <t xml:space="preserve">If data are not available, do not enter zeros; rather, leave the cells in this table blank. </t>
        </r>
      </text>
    </comment>
    <comment ref="B98"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<sst xmlns="http://schemas.openxmlformats.org/spreadsheetml/2006/main" count="600" uniqueCount="467">
  <si>
    <r>
      <t>Days taken for disbursement to reach SRs</t>
    </r>
    <r>
      <rPr>
        <sz val="10"/>
        <color indexed="8"/>
        <rFont val="Arial"/>
        <family val="2"/>
      </rPr>
      <t xml:space="preserve"> – 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</si>
  <si>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r>
      <t xml:space="preserve">SR expenditures: Prior to this Reporting period: </t>
    </r>
    <r>
      <rPr>
        <sz val="10"/>
        <color indexed="8"/>
        <rFont val="Arial"/>
        <family val="2"/>
      </rPr>
      <t>The sum of all expenditures reported by the SRs, up to but not including dashboard reporting period.   SR expenditures: Reporting period: The sum of all expenditures reported by the SRs, during dashboard reporting period.</t>
    </r>
  </si>
  <si>
    <r>
      <t>Disbursement by GF: Prior to this Reporting period:</t>
    </r>
    <r>
      <rPr>
        <sz val="10"/>
        <color indexed="8"/>
        <rFont val="Arial"/>
        <family val="2"/>
      </rPr>
      <t xml:space="preserve"> Sum of amounts transferred by the GF to either the PR or paid directly to suppliers (e.g. drugs, equipment, bed nets), up to </t>
    </r>
    <r>
      <rPr>
        <b/>
        <i/>
        <sz val="10"/>
        <color indexed="8"/>
        <rFont val="Arial"/>
        <family val="2"/>
      </rPr>
      <t>but not including</t>
    </r>
    <r>
      <rPr>
        <sz val="10"/>
        <color indexed="8"/>
        <rFont val="Arial"/>
        <family val="2"/>
      </rPr>
      <t xml:space="preserve"> dashboard reporting period. </t>
    </r>
    <r>
      <rPr>
        <b/>
        <sz val="10"/>
        <color indexed="8"/>
        <rFont val="Arial"/>
        <family val="2"/>
      </rPr>
      <t>Disbursement by GF: Reporting period:</t>
    </r>
    <r>
      <rPr>
        <sz val="10"/>
        <color indexed="8"/>
        <rFont val="Arial"/>
        <family val="2"/>
      </rPr>
      <t xml:space="preserve"> Sum of amounts transferred by the GF to either the PR or paid directly to suppliers (e.g. drugs, equipment, bed nets), during dashboard reporting period. 
</t>
    </r>
    <r>
      <rPr>
        <b/>
        <sz val="10"/>
        <color indexed="8"/>
        <rFont val="Arial"/>
        <family val="2"/>
      </rPr>
      <t>PR disbursements and expenditure:</t>
    </r>
    <r>
      <rPr>
        <sz val="10"/>
        <color indexed="8"/>
        <rFont val="Arial"/>
        <family val="2"/>
      </rPr>
      <t xml:space="preserve">  </t>
    </r>
    <r>
      <rPr>
        <b/>
        <sz val="10"/>
        <color indexed="8"/>
        <rFont val="Arial"/>
        <family val="2"/>
      </rPr>
      <t>Prior to this Reporting period:</t>
    </r>
    <r>
      <rPr>
        <sz val="10"/>
        <color indexed="8"/>
        <rFont val="Arial"/>
        <family val="2"/>
      </rPr>
      <t xml:space="preserve"> Total funds reported as being spent by the PR and/or disbursed to the Sub Recipients (SRs) up to </t>
    </r>
    <r>
      <rPr>
        <b/>
        <i/>
        <sz val="10"/>
        <color indexed="8"/>
        <rFont val="Arial"/>
        <family val="2"/>
      </rPr>
      <t xml:space="preserve">but not including </t>
    </r>
    <r>
      <rPr>
        <sz val="10"/>
        <color indexed="8"/>
        <rFont val="Arial"/>
        <family val="2"/>
      </rPr>
      <t>dashboard reporting period.</t>
    </r>
    <r>
      <rPr>
        <b/>
        <sz val="10"/>
        <color indexed="8"/>
        <rFont val="Arial"/>
        <family val="2"/>
      </rPr>
      <t xml:space="preserve"> PR disbursements and expenditure:  Reporting period:</t>
    </r>
    <r>
      <rPr>
        <sz val="10"/>
        <color indexed="8"/>
        <rFont val="Arial"/>
        <family val="2"/>
      </rPr>
      <t xml:space="preserve"> Total funds reported as being spent by the PR and/or disbursed to the Sub Recipients (SRs) during dashboard reporting period.</t>
    </r>
    <r>
      <rPr>
        <b/>
        <sz val="10"/>
        <color indexed="8"/>
        <rFont val="Arial"/>
        <family val="2"/>
      </rPr>
      <t xml:space="preserve">
Disbursements to SRs: Prior to this Reporting period: </t>
    </r>
    <r>
      <rPr>
        <sz val="10"/>
        <color indexed="8"/>
        <rFont val="Arial"/>
        <family val="2"/>
      </rPr>
      <t xml:space="preserve">The total amount transferred by the PR to Sub Recipients (SRs), up to </t>
    </r>
    <r>
      <rPr>
        <b/>
        <i/>
        <sz val="10"/>
        <color indexed="8"/>
        <rFont val="Arial"/>
        <family val="2"/>
      </rPr>
      <t>but not including</t>
    </r>
    <r>
      <rPr>
        <sz val="10"/>
        <color indexed="8"/>
        <rFont val="Arial"/>
        <family val="2"/>
      </rPr>
      <t xml:space="preserve"> dashboard reporting period. </t>
    </r>
    <r>
      <rPr>
        <b/>
        <sz val="10"/>
        <color indexed="8"/>
        <rFont val="Arial"/>
        <family val="2"/>
      </rPr>
      <t xml:space="preserve">Disbursements to SRs:Reporting period: </t>
    </r>
    <r>
      <rPr>
        <sz val="10"/>
        <color indexed="8"/>
        <rFont val="Arial"/>
        <family val="2"/>
      </rPr>
      <t>The total amount transferred by the PR to Sub Recipients (SRs), in dashboard reporting period.</t>
    </r>
  </si>
  <si>
    <r>
      <t xml:space="preserve">Cumulative Budget per Objective:  </t>
    </r>
    <r>
      <rPr>
        <sz val="10"/>
        <color indexed="8"/>
        <rFont val="Arial"/>
        <family val="2"/>
      </rPr>
      <t xml:space="preserve">Sum of the grant budget </t>
    </r>
    <r>
      <rPr>
        <b/>
        <i/>
        <sz val="10"/>
        <color indexed="8"/>
        <rFont val="Arial"/>
        <family val="2"/>
      </rPr>
      <t>by Objective</t>
    </r>
    <r>
      <rPr>
        <sz val="10"/>
        <color indexed="8"/>
        <rFont val="Arial"/>
        <family val="2"/>
      </rPr>
      <t xml:space="preserve">, from period one of the current phase </t>
    </r>
    <r>
      <rPr>
        <b/>
        <i/>
        <sz val="10"/>
        <color indexed="8"/>
        <rFont val="Arial"/>
        <family val="2"/>
      </rPr>
      <t>up to and including</t>
    </r>
    <r>
      <rPr>
        <sz val="10"/>
        <color indexed="8"/>
        <rFont val="Arial"/>
        <family val="2"/>
      </rPr>
      <t xml:space="preserve"> the dashboard reporting period. </t>
    </r>
    <r>
      <rPr>
        <b/>
        <sz val="10"/>
        <color indexed="8"/>
        <rFont val="Arial"/>
        <family val="2"/>
      </rPr>
      <t xml:space="preserve">
Cumulative Expenditure per Objective:</t>
    </r>
    <r>
      <rPr>
        <sz val="10"/>
        <color indexed="8"/>
        <rFont val="Arial"/>
        <family val="2"/>
      </rPr>
      <t xml:space="preserve"> Sum of</t>
    </r>
    <r>
      <rPr>
        <b/>
        <sz val="10"/>
        <color indexed="8"/>
        <rFont val="Arial"/>
        <family val="2"/>
      </rPr>
      <t xml:space="preserve"> </t>
    </r>
    <r>
      <rPr>
        <sz val="10"/>
        <color indexed="8"/>
        <rFont val="Arial"/>
        <family val="2"/>
      </rPr>
      <t xml:space="preserve">amounts spent </t>
    </r>
    <r>
      <rPr>
        <b/>
        <i/>
        <sz val="10"/>
        <color indexed="8"/>
        <rFont val="Arial"/>
        <family val="2"/>
      </rPr>
      <t>by Objective</t>
    </r>
    <r>
      <rPr>
        <sz val="10"/>
        <color indexed="8"/>
        <rFont val="Arial"/>
        <family val="2"/>
      </rPr>
      <t xml:space="preserve"> directly by the PR plus the amounts transferred by the PR to all SRs from the beginning of the phase </t>
    </r>
    <r>
      <rPr>
        <b/>
        <i/>
        <sz val="10"/>
        <color indexed="8"/>
        <rFont val="Arial"/>
        <family val="2"/>
      </rPr>
      <t>up to and including</t>
    </r>
    <r>
      <rPr>
        <sz val="10"/>
        <color indexed="8"/>
        <rFont val="Arial"/>
        <family val="2"/>
      </rPr>
      <t xml:space="preserve"> dashboard reporting period, by Objective.</t>
    </r>
  </si>
  <si>
    <r>
      <t xml:space="preserve">Days taken to submit final PU/DR to LFA – </t>
    </r>
    <r>
      <rPr>
        <sz val="10"/>
        <color indexed="8"/>
        <rFont val="Arial"/>
        <family val="2"/>
      </rPr>
      <t xml:space="preserve">This indicator measures </t>
    </r>
    <r>
      <rPr>
        <b/>
        <sz val="10"/>
        <color indexed="8"/>
        <rFont val="Arial"/>
        <family val="2"/>
      </rPr>
      <t>t</t>
    </r>
    <r>
      <rPr>
        <sz val="10"/>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0"/>
        <color indexed="8"/>
        <rFont val="Arial"/>
        <family val="2"/>
      </rPr>
      <t xml:space="preserve">
Days taken for disbursement to reach PR – </t>
    </r>
    <r>
      <rPr>
        <sz val="10"/>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</si>
  <si>
    <t>Name</t>
  </si>
  <si>
    <t>Days taken to submit final PU/DR to LFA</t>
  </si>
  <si>
    <t>Information reporting period</t>
  </si>
  <si>
    <t>Enter the data based on the colour-coded cells</t>
  </si>
  <si>
    <t>% Cumulative</t>
  </si>
  <si>
    <t>Obligations cumulative</t>
  </si>
  <si>
    <t>Expenditures cumulative</t>
  </si>
  <si>
    <t xml:space="preserve">Comment: </t>
  </si>
  <si>
    <t>Comment:</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</si>
  <si>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</si>
  <si>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</si>
  <si>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</si>
  <si>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</si>
  <si>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</si>
  <si>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</si>
  <si>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</si>
  <si>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</si>
  <si>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</si>
  <si>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</si>
  <si>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</si>
  <si>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</si>
  <si>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</si>
  <si>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</si>
  <si>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</si>
  <si>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</si>
  <si>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</si>
  <si>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</si>
  <si>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</si>
  <si>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</si>
  <si>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</si>
  <si>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</si>
  <si>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</si>
  <si>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</si>
  <si>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</si>
  <si>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</si>
  <si>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</si>
  <si>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</si>
  <si>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</si>
  <si>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</si>
  <si>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</si>
  <si>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</si>
  <si>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</si>
  <si>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</si>
  <si>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</si>
  <si>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</si>
  <si>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</si>
  <si>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</si>
  <si>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</si>
  <si>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</si>
  <si>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</si>
  <si>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</si>
  <si>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</si>
  <si>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</si>
  <si>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</si>
  <si>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</si>
  <si>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</si>
  <si>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</si>
  <si>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</si>
  <si>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</si>
  <si>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</si>
  <si>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</si>
  <si>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</si>
  <si>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</si>
  <si>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</si>
  <si>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</si>
  <si>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</si>
  <si>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</si>
  <si>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</si>
  <si>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</si>
  <si>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</si>
  <si>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</si>
  <si>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</si>
  <si>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</si>
  <si>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</si>
  <si>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</si>
  <si>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</si>
  <si>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</si>
  <si>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</si>
  <si>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</si>
  <si>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</si>
  <si>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</si>
  <si>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</si>
  <si>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</si>
  <si>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</si>
  <si>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</si>
  <si>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</si>
  <si>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</si>
  <si>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</si>
  <si>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</si>
  <si>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</si>
  <si>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</si>
  <si>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</si>
  <si>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</si>
  <si>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</si>
  <si>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</si>
  <si>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</si>
  <si>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</si>
  <si>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</si>
  <si>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</si>
  <si>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</si>
  <si>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</si>
  <si>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</si>
  <si>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</si>
  <si>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</si>
  <si>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</si>
  <si>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</si>
  <si>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</si>
  <si>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</si>
  <si>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</si>
  <si>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</si>
  <si>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</si>
  <si>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</si>
  <si>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</si>
  <si>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</si>
  <si>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</si>
  <si>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</si>
  <si>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</si>
  <si>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</si>
  <si>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</si>
  <si>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</si>
  <si>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</si>
  <si>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</si>
  <si>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</si>
  <si>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</si>
  <si>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</si>
  <si>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</si>
  <si>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</si>
  <si>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</si>
  <si>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</si>
  <si>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</si>
  <si>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</si>
  <si>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</si>
  <si>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</si>
  <si>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</si>
  <si>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</si>
  <si>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</si>
  <si>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</si>
  <si>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</si>
  <si>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</si>
  <si>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</si>
  <si>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</si>
  <si>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</si>
  <si>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</si>
  <si>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</si>
  <si>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</si>
  <si>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</si>
  <si>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</si>
  <si>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</si>
  <si>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</si>
  <si>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</si>
  <si>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</si>
  <si>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</si>
  <si>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</si>
  <si>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</si>
  <si>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</si>
  <si>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</si>
  <si>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</si>
  <si>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</si>
  <si>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</si>
  <si>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</si>
  <si>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</si>
  <si>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</si>
  <si>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</si>
  <si>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</si>
  <si>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</si>
  <si>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</si>
  <si>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</si>
  <si>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</si>
  <si>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</si>
  <si>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</si>
  <si>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</si>
  <si>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</si>
  <si>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</si>
  <si>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</si>
  <si>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</si>
  <si>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</si>
  <si>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</si>
  <si>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</si>
  <si>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</si>
  <si>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</si>
  <si>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</si>
  <si>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</si>
  <si>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</si>
  <si>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</si>
  <si>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</si>
  <si>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</si>
  <si>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</si>
  <si>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</si>
  <si>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</si>
  <si>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</si>
  <si>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</si>
  <si>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</si>
  <si>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</si>
  <si>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</si>
  <si>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</si>
  <si>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</si>
  <si>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</si>
  <si>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</si>
  <si>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</si>
  <si>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</si>
  <si>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</si>
  <si>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</si>
  <si>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</si>
  <si>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</si>
  <si>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</si>
  <si>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</si>
  <si>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</si>
  <si>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</si>
  <si>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</si>
  <si>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</si>
  <si>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</si>
  <si>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</si>
  <si>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</si>
  <si>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</si>
  <si>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</si>
  <si>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</si>
  <si>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</si>
  <si>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</si>
  <si>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</si>
  <si>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</si>
  <si>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</si>
  <si>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</si>
  <si>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</si>
  <si>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</si>
  <si>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</si>
  <si>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</si>
  <si>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</si>
  <si>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</si>
  <si>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</si>
  <si>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</si>
  <si>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</si>
  <si>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</si>
  <si>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</si>
  <si>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</si>
  <si>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</si>
  <si>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</si>
  <si>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</si>
  <si>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</si>
  <si>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</si>
  <si>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</si>
  <si>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</si>
  <si>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</si>
  <si>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</si>
  <si>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</si>
  <si>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</si>
  <si>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</si>
  <si>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</si>
  <si>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</si>
  <si>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</si>
  <si>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</si>
  <si>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</si>
  <si>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</si>
  <si>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</si>
  <si>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</si>
  <si>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</si>
  <si>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</si>
  <si>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</si>
  <si>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</si>
  <si>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</si>
  <si>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</si>
  <si>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</si>
  <si>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</si>
  <si>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</si>
  <si>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</si>
  <si>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</si>
  <si>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</si>
  <si>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</si>
  <si>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</si>
  <si>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</si>
  <si>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</si>
  <si>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</si>
  <si>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</si>
  <si>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</si>
  <si>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</si>
  <si>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</si>
  <si>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</si>
  <si>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</si>
  <si>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</si>
  <si>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</si>
  <si>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</si>
  <si>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</si>
  <si>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</si>
  <si>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</si>
  <si>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</si>
  <si>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</si>
  <si>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</si>
  <si>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</si>
  <si>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</si>
  <si>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</si>
  <si>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</si>
  <si>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</si>
  <si>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</si>
  <si>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</si>
  <si>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</si>
  <si>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</si>
  <si>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</si>
  <si>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</si>
  <si>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</si>
  <si>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</si>
  <si>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</si>
  <si>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</si>
  <si>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</si>
  <si>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</si>
  <si>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</si>
  <si>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</si>
  <si>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</si>
  <si>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</si>
  <si>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</si>
  <si>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</si>
  <si>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</si>
  <si>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</si>
  <si>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</si>
  <si>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</si>
  <si>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Expenditures</t>
  </si>
  <si>
    <t>TB nutri'l supplements</t>
  </si>
  <si>
    <t>Recommendations</t>
  </si>
  <si>
    <t>P1 - trend</t>
  </si>
  <si>
    <t>P2 - trend</t>
  </si>
  <si>
    <t>P3 - trend</t>
  </si>
  <si>
    <t>Set-up = List of validation for Grant Detail page</t>
  </si>
  <si>
    <t>Action Taken</t>
  </si>
  <si>
    <t>Phase:</t>
  </si>
  <si>
    <t>Round:</t>
  </si>
  <si>
    <t>From:</t>
  </si>
  <si>
    <t>Date of entry  of information:</t>
  </si>
  <si>
    <t xml:space="preserve">     Enter finance data in every orange cell like this.</t>
  </si>
  <si>
    <t>Code</t>
  </si>
  <si>
    <t>Grant No.</t>
  </si>
  <si>
    <t>Difference between current stock and safety stock</t>
  </si>
  <si>
    <t>Months of safety stock</t>
  </si>
  <si>
    <t>0% - 59%</t>
  </si>
  <si>
    <t>60% - 89%</t>
  </si>
  <si>
    <t>&gt; 90%</t>
  </si>
  <si>
    <t>Actions to Implement / Previous Period</t>
  </si>
  <si>
    <t xml:space="preserve">(7)
Level of safety stock
(expressed in months and defined by country) </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</si>
  <si>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</si>
  <si>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</si>
  <si>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</si>
  <si>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</si>
  <si>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</si>
  <si>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</si>
  <si>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</si>
  <si>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</si>
  <si>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</si>
  <si>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</si>
  <si>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</si>
  <si>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</si>
  <si>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</si>
  <si>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</si>
  <si>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</si>
  <si>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</si>
  <si>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</si>
  <si>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</si>
  <si>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</si>
  <si>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</si>
  <si>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</si>
  <si>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</si>
  <si>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</si>
  <si>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</si>
  <si>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</si>
  <si>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</si>
  <si>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</si>
  <si>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</si>
  <si>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</si>
  <si>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</si>
  <si>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</si>
  <si>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</si>
  <si>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</si>
  <si>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</si>
  <si>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</si>
  <si>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</si>
  <si>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</si>
  <si>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</si>
  <si>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</si>
  <si>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</si>
  <si>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</si>
  <si>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</si>
  <si>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</si>
  <si>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</si>
  <si>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t>PR banking or accounting information; TGF disbursment notification; PU/DR; GF website</t>
  </si>
  <si>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</si>
  <si>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</si>
  <si>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</si>
  <si>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</si>
  <si>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</si>
  <si>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</si>
  <si>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</si>
  <si>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</si>
  <si>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</si>
  <si>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</si>
  <si>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</si>
  <si>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What is the status of actions on previous decisions?</t>
  </si>
  <si>
    <r>
      <t xml:space="preserve">Cumulative budget: </t>
    </r>
    <r>
      <rPr>
        <sz val="10"/>
        <color indexed="8"/>
        <rFont val="Arial"/>
        <family val="2"/>
      </rPr>
      <t xml:space="preserve">Sum of the grant budget from period one (quarter, trimester, or semester) of the current phase, </t>
    </r>
    <r>
      <rPr>
        <b/>
        <i/>
        <sz val="10"/>
        <color indexed="8"/>
        <rFont val="Arial"/>
        <family val="2"/>
      </rPr>
      <t>up to and including</t>
    </r>
    <r>
      <rPr>
        <sz val="10"/>
        <color indexed="8"/>
        <rFont val="Arial"/>
        <family val="2"/>
      </rPr>
      <t xml:space="preserve"> the dashboard reporting period.</t>
    </r>
    <r>
      <rPr>
        <b/>
        <sz val="10"/>
        <color indexed="8"/>
        <rFont val="Arial"/>
        <family val="2"/>
      </rPr>
      <t xml:space="preserve">
Cumulative Disbursments by GF:</t>
    </r>
    <r>
      <rPr>
        <sz val="10"/>
        <color indexed="8"/>
        <rFont val="Arial"/>
        <family val="2"/>
      </rPr>
      <t xml:space="preserve"> Sum of all the funds transferred by the GF to either the PR or paid directly to suppliers (e.g. drugs, equipment, bed nets), </t>
    </r>
    <r>
      <rPr>
        <b/>
        <i/>
        <sz val="10"/>
        <color indexed="8"/>
        <rFont val="Arial"/>
        <family val="2"/>
      </rPr>
      <t>up to and including</t>
    </r>
    <r>
      <rPr>
        <b/>
        <sz val="10"/>
        <color indexed="8"/>
        <rFont val="Arial"/>
        <family val="2"/>
      </rPr>
      <t xml:space="preserve"> </t>
    </r>
    <r>
      <rPr>
        <sz val="10"/>
        <color indexed="8"/>
        <rFont val="Arial"/>
        <family val="2"/>
      </rPr>
      <t>the dasboard reporting period.</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</si>
  <si>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0"/>
        <color indexed="8"/>
        <rFont val="Arial"/>
        <family val="2"/>
      </rPr>
      <t>but not including</t>
    </r>
    <r>
      <rPr>
        <sz val="10"/>
        <color indexed="8"/>
        <rFont val="Arial"/>
        <family val="2"/>
      </rPr>
      <t xml:space="preserve"> the current period.</t>
    </r>
  </si>
  <si>
    <r>
      <t xml:space="preserve">Number of calendar days; it refers only to reporting period for which the latest disbursement was received and is </t>
    </r>
    <r>
      <rPr>
        <b/>
        <sz val="10"/>
        <color indexed="8"/>
        <rFont val="Arial"/>
        <family val="2"/>
      </rPr>
      <t>not cumulative</t>
    </r>
  </si>
  <si>
    <r>
      <t xml:space="preserve">Number of Conditions Precedent (CPs) and Time Bound Actions (TBAs ) fulfilled, or unfulfilled. 
</t>
    </r>
    <r>
      <rPr>
        <sz val="10"/>
        <color indexed="8"/>
        <rFont val="Arial"/>
        <family val="2"/>
      </rPr>
      <t>Within the Unfulfilled category, we distinguish between those CPs and TBAs whose deadline has not passed and those for which the deadline has passed.</t>
    </r>
  </si>
  <si>
    <r>
      <t>Number of PR grant management positions planned currently filled or vacant.</t>
    </r>
    <r>
      <rPr>
        <sz val="10"/>
        <color indexed="8"/>
        <rFont val="Arial"/>
        <family val="2"/>
      </rPr>
      <t xml:space="preserve"> Full time equivalents of the </t>
    </r>
    <r>
      <rPr>
        <b/>
        <sz val="10"/>
        <color indexed="8"/>
        <rFont val="Arial"/>
        <family val="2"/>
      </rPr>
      <t xml:space="preserve">managerial </t>
    </r>
    <r>
      <rPr>
        <sz val="10"/>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</si>
  <si>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r>
      <t xml:space="preserve">
</t>
    </r>
    <r>
      <rPr>
        <b/>
        <sz val="10"/>
        <color indexed="8"/>
        <rFont val="Arial"/>
        <family val="2"/>
      </rPr>
      <t xml:space="preserve">Identified: </t>
    </r>
    <r>
      <rPr>
        <sz val="10"/>
        <color indexed="8"/>
        <rFont val="Arial"/>
        <family val="2"/>
      </rPr>
      <t xml:space="preserve">Total number of potential SRs identified by the PR for the phase. </t>
    </r>
    <r>
      <rPr>
        <b/>
        <sz val="10"/>
        <color indexed="8"/>
        <rFont val="Arial"/>
        <family val="2"/>
      </rPr>
      <t xml:space="preserve">Assessed: </t>
    </r>
    <r>
      <rPr>
        <sz val="10"/>
        <color indexed="8"/>
        <rFont val="Arial"/>
        <family val="2"/>
      </rPr>
      <t xml:space="preserve">Total number of potential SRs assessed by the PR to determine whether they qualify to function as SRs for the grant. </t>
    </r>
    <r>
      <rPr>
        <b/>
        <sz val="10"/>
        <color indexed="8"/>
        <rFont val="Arial"/>
        <family val="2"/>
      </rPr>
      <t>Approved:</t>
    </r>
    <r>
      <rPr>
        <sz val="10"/>
        <color indexed="8"/>
        <rFont val="Arial"/>
        <family val="2"/>
      </rPr>
      <t xml:space="preserve"> Total number of SRs that have been approved</t>
    </r>
    <r>
      <rPr>
        <b/>
        <sz val="10"/>
        <color indexed="8"/>
        <rFont val="Arial"/>
        <family val="2"/>
      </rPr>
      <t xml:space="preserve">. Signed: </t>
    </r>
    <r>
      <rPr>
        <sz val="10"/>
        <color indexed="8"/>
        <rFont val="Arial"/>
        <family val="2"/>
      </rPr>
      <t xml:space="preserve">Total number of SRs that have signed agreements/contracts with the PR under the grant. </t>
    </r>
    <r>
      <rPr>
        <b/>
        <sz val="10"/>
        <color indexed="8"/>
        <rFont val="Arial"/>
        <family val="2"/>
      </rPr>
      <t xml:space="preserve">Receiving funding: </t>
    </r>
    <r>
      <rPr>
        <sz val="10"/>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0"/>
        <color indexed="8"/>
        <rFont val="Arial"/>
        <family val="2"/>
      </rPr>
      <t>not</t>
    </r>
    <r>
      <rPr>
        <sz val="10"/>
        <color indexed="8"/>
        <rFont val="Arial"/>
        <family val="2"/>
      </rPr>
      <t xml:space="preserve"> working in the current Phase, that SR is no longer counted in Identified, Assessed, Approved.</t>
    </r>
  </si>
  <si>
    <r>
      <t xml:space="preserve">Number of reports received. The figure reflects only the period of reporting; it is </t>
    </r>
    <r>
      <rPr>
        <b/>
        <i/>
        <sz val="10"/>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</si>
  <si>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0"/>
        <color indexed="8"/>
        <rFont val="Arial"/>
        <family val="2"/>
      </rPr>
      <t xml:space="preserve">approved: </t>
    </r>
    <r>
      <rPr>
        <sz val="10"/>
        <color indexed="8"/>
        <rFont val="Arial"/>
        <family val="2"/>
      </rPr>
      <t xml:space="preserve">Total approved budget for purchases (categories 4 and 5) </t>
    </r>
    <r>
      <rPr>
        <b/>
        <i/>
        <sz val="10"/>
        <color indexed="8"/>
        <rFont val="Arial"/>
        <family val="2"/>
      </rPr>
      <t>for the entire phase</t>
    </r>
    <r>
      <rPr>
        <i/>
        <sz val="10"/>
        <color indexed="8"/>
        <rFont val="Arial"/>
        <family val="2"/>
      </rPr>
      <t xml:space="preserve"> </t>
    </r>
    <r>
      <rPr>
        <sz val="10"/>
        <color indexed="8"/>
        <rFont val="Arial"/>
        <family val="2"/>
      </rPr>
      <t xml:space="preserve">of the grant. It does not include the amounts for fees, management, operational costs, etc.
</t>
    </r>
    <r>
      <rPr>
        <b/>
        <sz val="10"/>
        <color indexed="8"/>
        <rFont val="Arial"/>
        <family val="2"/>
      </rPr>
      <t>Cumulative Obligations:</t>
    </r>
    <r>
      <rPr>
        <sz val="10"/>
        <color indexed="8"/>
        <rFont val="Arial"/>
        <family val="2"/>
      </rPr>
      <t xml:space="preserve"> Total of all order(s) placed and monies committed for these purchases by the PR </t>
    </r>
    <r>
      <rPr>
        <b/>
        <i/>
        <sz val="10"/>
        <color indexed="8"/>
        <rFont val="Arial"/>
        <family val="2"/>
      </rPr>
      <t xml:space="preserve">up to and including </t>
    </r>
    <r>
      <rPr>
        <sz val="10"/>
        <color indexed="8"/>
        <rFont val="Arial"/>
        <family val="2"/>
      </rPr>
      <t xml:space="preserve">the dashboard reporting period. Ideally, by the end of the Phase, budget should equal obligations.
</t>
    </r>
    <r>
      <rPr>
        <b/>
        <sz val="10"/>
        <color indexed="8"/>
        <rFont val="Arial"/>
        <family val="2"/>
      </rPr>
      <t>Cumulative expenditure:</t>
    </r>
    <r>
      <rPr>
        <sz val="10"/>
        <color indexed="8"/>
        <rFont val="Arial"/>
        <family val="2"/>
      </rPr>
      <t xml:space="preserve"> Total of actual Expenditures on category 4 and 5 </t>
    </r>
    <r>
      <rPr>
        <b/>
        <i/>
        <sz val="10"/>
        <color indexed="8"/>
        <rFont val="Arial"/>
        <family val="2"/>
      </rPr>
      <t>up to and including</t>
    </r>
    <r>
      <rPr>
        <sz val="10"/>
        <color indexed="8"/>
        <rFont val="Arial"/>
        <family val="2"/>
      </rPr>
      <t xml:space="preserve"> the dashboard reporting period (whether paid by PR or authorized to be paid by another entity like GF or other).</t>
    </r>
  </si>
  <si>
    <r>
      <t xml:space="preserve">Note: </t>
    </r>
    <r>
      <rPr>
        <sz val="10"/>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</si>
  <si>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</si>
  <si>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Data Entry</t>
  </si>
  <si>
    <r>
      <t xml:space="preserve">Days from end of </t>
    </r>
    <r>
      <rPr>
        <u val="single"/>
        <sz val="11"/>
        <color indexed="8"/>
        <rFont val="Calibri"/>
        <family val="2"/>
      </rPr>
      <t>previous</t>
    </r>
    <r>
      <rPr>
        <sz val="11"/>
        <color theme="1"/>
        <rFont val="Calibri"/>
        <family val="2"/>
      </rPr>
      <t xml:space="preserve"> reporting period until </t>
    </r>
    <r>
      <rPr>
        <u val="single"/>
        <sz val="11"/>
        <color indexed="8"/>
        <rFont val="Calibri"/>
        <family val="2"/>
      </rPr>
      <t>accepted</t>
    </r>
    <r>
      <rPr>
        <sz val="11"/>
        <color theme="1"/>
        <rFont val="Calibri"/>
        <family val="2"/>
      </rPr>
      <t xml:space="preserve"> PU/DR was sent to LFA</t>
    </r>
  </si>
  <si>
    <t>Days from receipt of accepted PU/DR by LFA</t>
  </si>
  <si>
    <r>
      <t>Average</t>
    </r>
    <r>
      <rPr>
        <sz val="11"/>
        <color theme="1"/>
        <rFont val="Calibri"/>
        <family val="2"/>
      </rPr>
      <t xml:space="preserve"> days from receipt by PR to receipt by SRs </t>
    </r>
  </si>
  <si>
    <t>(3) 
Total patients in treatment</t>
  </si>
  <si>
    <t>(5) 
Current stock in central warehouse (that does not expire within the next 3 months)</t>
  </si>
  <si>
    <t>(2)  =  (1) x 30
Monthly treatment 
(Tablets per patient x 30 days)</t>
  </si>
  <si>
    <t>(4)  =  (2) x (3)
Total # tab/pills required for all patients per month</t>
  </si>
  <si>
    <t>(6)  =  (5) / (4)
Stock level expressed in months of treatment for all current patients</t>
  </si>
  <si>
    <t>(8)  =  (6) - (7)
Difference between current stock and safety stock</t>
  </si>
  <si>
    <t>M4: Number of complete reports received on time, this reporting period</t>
  </si>
  <si>
    <t>Accelerating Access to Prevention, Treatment, Care &amp; Support for HIV/AIDS</t>
  </si>
  <si>
    <t>PMTCT</t>
  </si>
  <si>
    <t>Note:  strange budget numbers</t>
  </si>
  <si>
    <t>Note</t>
  </si>
  <si>
    <t>RRHH</t>
  </si>
  <si>
    <t>No data on budget &amp; procurement</t>
  </si>
  <si>
    <t>No info on key management positions.</t>
  </si>
  <si>
    <t>Date</t>
  </si>
  <si>
    <t>GHN-809-G11-H</t>
  </si>
  <si>
    <t>Ph1 Funding:</t>
  </si>
  <si>
    <t># and % of HIV-infected women receiving a course of anti-retroviral prophylaxis to reduce Mother to Child Transmission</t>
  </si>
  <si>
    <t xml:space="preserve"> </t>
  </si>
  <si>
    <t>Current Grant</t>
  </si>
  <si>
    <t>NACP TEAM</t>
  </si>
  <si>
    <t>Mark Saalfeld</t>
  </si>
  <si>
    <t>MOH</t>
  </si>
  <si>
    <t>NFM</t>
  </si>
  <si>
    <t>P1:July-Sept. 2015</t>
  </si>
  <si>
    <t>P2:Oct.-Dec. 2015</t>
  </si>
  <si>
    <t>Prevention programs for general population</t>
  </si>
  <si>
    <t>Prevention programs for sex workers and their clients</t>
  </si>
  <si>
    <t>Treatment, care and support</t>
  </si>
  <si>
    <t>TB/HIV</t>
  </si>
  <si>
    <t>HSS - Procurement supply chain management (PSCM)</t>
  </si>
  <si>
    <t>HSS - Health information systems and M&amp;E</t>
  </si>
  <si>
    <t>HSS - Health and community workforce</t>
  </si>
  <si>
    <t>HSS - Service delivery</t>
  </si>
  <si>
    <t>HSS - Financial management</t>
  </si>
  <si>
    <t>HSS - Policy and governance</t>
  </si>
  <si>
    <t>Program management</t>
  </si>
  <si>
    <t>P3:Jan-Mar. 2016</t>
  </si>
  <si>
    <t>% of adults and children currently receiving antiretroviral among adults and children living with HIV</t>
  </si>
  <si>
    <t>Number of women and men 15+ who received an HIV test and know their results</t>
  </si>
  <si>
    <t xml:space="preserve"> % of pregnant women who know their HIV status</t>
  </si>
  <si>
    <t>% of HIV positive pregnant women who received antiretrovirals to reduce the risk of mother-to-child transmission</t>
  </si>
  <si>
    <t>% of infants born to HIV positive women who received a virological test for HIV test within 2 months of birth</t>
  </si>
  <si>
    <t>% of HIV Positive clients who were screened for TB in HIV care or treatment setting</t>
  </si>
  <si>
    <t>Jul-Sep 2015</t>
  </si>
  <si>
    <t>At the end of December 2015, the program is expected to initiate 14,177 new clients on treatment. Within the current reporting period, 12,277 new clients have been initiated. Data cleaning is currently ongoing to establish the actual number on treatment. The 95,989 is made up of 83,712 active clients as at december 2014 and 12,277 newly intiated clients from January to September 2015. Death and loss to follow-up have not been accounted for in the 12,277 figure as it done at the end of the year.</t>
  </si>
  <si>
    <t>Coverage would improve in the next quarter as PMTCT trainings done in the 3rd quarter of 2015 would beging yielding results</t>
  </si>
  <si>
    <t>Screening takes place but there are challenges with data capture which are  been resolved</t>
  </si>
  <si>
    <t>The program identified 9,024 HIV positive pregnant women and gave ARVs to 5,751 of them. Collaboration with the Family Health Division of the Ghana Health Service which would make available ARVs at all PMTCT centres (currently 2,152) at the lowest levels (CHP compounds) aside the 197 ART sites is on course. The Program has completed PMTCT trainings in the four priority regions namely Greater Accra, Ashanti, Eastern and Western Regions and would roll out trainings to the remaining 6 Regions</t>
  </si>
  <si>
    <t>Specific activities to improve this subsequently include improved Privider initiated testing and counselling (PITC), Testing of partners of pregnant women, Know-your stautus campaigns and testing of children in health care settings. These activities will be mostly started in Q1 of 2016 due to current low stocks of testkits. The next consignment of testkits will only arrive in January 2016.</t>
  </si>
  <si>
    <t>EID samples are still been run as there are a lot of backlogs. EID trainings have  been done in the priority regions and they would be rolled out in the 6 other regions. Stakeholders are been engaged especially the Family Health Division of the Ghana Health Service to integrate EID fully into Post natal care and EPI. The above measures would significantly improve EID coverage.</t>
  </si>
  <si>
    <t>The target used is full year target in new Performance Framework</t>
  </si>
  <si>
    <t>The target is three-quarters of full year in new PF</t>
  </si>
  <si>
    <t>The target is three quarters of full year in new PF</t>
  </si>
  <si>
    <t>% expenditures of budget</t>
  </si>
  <si>
    <t>Budget % of total budget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</si>
</sst>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quot;#,##0_);[Red]\(&quot;Q&quot;#,##0\)"/>
    <numFmt numFmtId="181" formatCode="_(&quot;Q&quot;* #,##0_);_(&quot;Q&quot;* \(#,##0\);_(&quot;Q&quot;* &quot;-&quot;_);_(@_)"/>
    <numFmt numFmtId="182" formatCode="_(&quot;Q&quot;* #,##0.00_);_(&quot;Q&quot;* \(#,##0.00\);_(&quot;Q&quot;* &quot;-&quot;??_);_(@_)"/>
    <numFmt numFmtId="183" formatCode="_(* #,##0_);_(* \(#,##0\);_(* &quot;-&quot;??_);_(@_)"/>
    <numFmt numFmtId="184" formatCode=";;;"/>
    <numFmt numFmtId="185" formatCode="0.0"/>
    <numFmt numFmtId="186" formatCode=";;;&quot;Financial Variance in %&quot;"/>
    <numFmt numFmtId="187" formatCode=";;;&quot;Revenue in $&quot;"/>
    <numFmt numFmtId="188" formatCode="_([$€]* #,##0.00_);_([$€]* \(#,##0.00\);_([$€]* &quot;-&quot;??_);_(@_)"/>
    <numFmt numFmtId="189" formatCode="[$$-409]#,##0"/>
    <numFmt numFmtId="190" formatCode="[$-409]d/mmm/yyyy;@"/>
    <numFmt numFmtId="191" formatCode="[$$-409]#,##0.00"/>
    <numFmt numFmtId="192" formatCode="[$$-409]#,##0_);\([$$-409]#,##0\)"/>
    <numFmt numFmtId="193" formatCode="[$$-409]#,##0.0"/>
    <numFmt numFmtId="194" formatCode="&quot;Yes&quot;;&quot;Yes&quot;;&quot;No&quot;"/>
    <numFmt numFmtId="195" formatCode="&quot;True&quot;;&quot;True&quot;;&quot;False&quot;"/>
    <numFmt numFmtId="196" formatCode="&quot;On&quot;;&quot;On&quot;;&quot;Off&quot;"/>
    <numFmt numFmtId="197" formatCode="[$€-2]\ #,##0.00_);[Red]\([$€-2]\ #,##0.00\)"/>
    <numFmt numFmtId="198" formatCode="[$-409]dddd\,\ dd\ mmmm\ yyyy"/>
    <numFmt numFmtId="199" formatCode="_(* #,##0.0_);_(* \(#,##0.0\);_(* &quot;-&quot;??_);_(@_)"/>
    <numFmt numFmtId="200" formatCode="#,##0.00000"/>
    <numFmt numFmtId="201" formatCode="#,##0.00000000"/>
    <numFmt numFmtId="202" formatCode="#,##0.0000000"/>
  </numFmts>
  <fonts count="141">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1"/>
      <color indexed="8"/>
      <name val="Arial"/>
      <family val="2"/>
    </font>
    <font>
      <b/>
      <sz val="16"/>
      <color indexed="8"/>
      <name val="Calibri"/>
      <family val="2"/>
    </font>
    <font>
      <b/>
      <sz val="14"/>
      <color indexed="52"/>
      <name val="Calibri"/>
      <family val="2"/>
    </font>
    <font>
      <b/>
      <sz val="10"/>
      <color indexed="53"/>
      <name val="Calibri"/>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b/>
      <sz val="8"/>
      <name val="Arial"/>
      <family val="2"/>
    </font>
    <font>
      <sz val="8"/>
      <name val="Tahoma"/>
      <family val="2"/>
    </font>
    <font>
      <b/>
      <sz val="20"/>
      <color indexed="8"/>
      <name val="Calibri"/>
      <family val="2"/>
    </font>
    <font>
      <sz val="20"/>
      <color indexed="8"/>
      <name val="Calibri"/>
      <family val="2"/>
    </font>
    <font>
      <b/>
      <i/>
      <sz val="10"/>
      <color indexed="8"/>
      <name val="Arial"/>
      <family val="2"/>
    </font>
    <font>
      <i/>
      <sz val="10"/>
      <color indexed="8"/>
      <name val="Arial"/>
      <family val="2"/>
    </font>
    <font>
      <sz val="10"/>
      <color indexed="10"/>
      <name val="Arial"/>
      <family val="2"/>
    </font>
    <font>
      <b/>
      <sz val="10"/>
      <color indexed="14"/>
      <name val="Calibri"/>
      <family val="2"/>
    </font>
    <font>
      <b/>
      <i/>
      <sz val="16"/>
      <color indexed="12"/>
      <name val="Calibri"/>
      <family val="2"/>
    </font>
    <font>
      <u val="single"/>
      <sz val="11"/>
      <color indexed="8"/>
      <name val="Calibri"/>
      <family val="2"/>
    </font>
    <font>
      <sz val="12"/>
      <name val="Arial"/>
      <family val="2"/>
    </font>
    <font>
      <sz val="11"/>
      <name val="Arial"/>
      <family val="2"/>
    </font>
    <font>
      <sz val="5.75"/>
      <color indexed="8"/>
      <name val="Arial"/>
      <family val="0"/>
    </font>
    <font>
      <sz val="6"/>
      <color indexed="8"/>
      <name val="Arial"/>
      <family val="0"/>
    </font>
    <font>
      <b/>
      <sz val="8"/>
      <color indexed="8"/>
      <name val="Arial"/>
      <family val="0"/>
    </font>
    <font>
      <sz val="3.65"/>
      <color indexed="8"/>
      <name val="Arial"/>
      <family val="0"/>
    </font>
    <font>
      <sz val="9.5"/>
      <color indexed="8"/>
      <name val="Arial"/>
      <family val="0"/>
    </font>
    <font>
      <sz val="8"/>
      <color indexed="8"/>
      <name val="Arial"/>
      <family val="0"/>
    </font>
    <font>
      <sz val="5"/>
      <color indexed="8"/>
      <name val="Calibri"/>
      <family val="0"/>
    </font>
    <font>
      <sz val="4"/>
      <color indexed="8"/>
      <name val="Calibri"/>
      <family val="0"/>
    </font>
    <font>
      <sz val="5.5"/>
      <color indexed="8"/>
      <name val="Arial"/>
      <family val="0"/>
    </font>
    <font>
      <sz val="6.6"/>
      <color indexed="8"/>
      <name val="Arial"/>
      <family val="0"/>
    </font>
    <font>
      <b/>
      <sz val="18"/>
      <color indexed="8"/>
      <name val="Calibri"/>
      <family val="0"/>
    </font>
    <font>
      <sz val="6.75"/>
      <color indexed="8"/>
      <name val="Arial"/>
      <family val="0"/>
    </font>
    <font>
      <sz val="4.25"/>
      <color indexed="8"/>
      <name val="Arial"/>
      <family val="0"/>
    </font>
    <font>
      <sz val="3.35"/>
      <color indexed="8"/>
      <name val="Arial"/>
      <family val="0"/>
    </font>
    <font>
      <sz val="4.75"/>
      <color indexed="8"/>
      <name val="Arial"/>
      <family val="0"/>
    </font>
    <font>
      <b/>
      <sz val="5.5"/>
      <color indexed="8"/>
      <name val="Arial"/>
      <family val="0"/>
    </font>
    <font>
      <sz val="1"/>
      <color indexed="8"/>
      <name val="Arial"/>
      <family val="0"/>
    </font>
    <font>
      <b/>
      <sz val="1"/>
      <color indexed="8"/>
      <name val="Arial"/>
      <family val="0"/>
    </font>
    <font>
      <sz val="12"/>
      <color indexed="8"/>
      <name val="Arial"/>
      <family val="0"/>
    </font>
    <font>
      <sz val="18"/>
      <color indexed="8"/>
      <name val="Arial"/>
      <family val="0"/>
    </font>
    <font>
      <sz val="9"/>
      <color indexed="8"/>
      <name val="Calibri"/>
      <family val="0"/>
    </font>
    <font>
      <b/>
      <sz val="1.25"/>
      <color indexed="8"/>
      <name val="Arial"/>
      <family val="0"/>
    </font>
    <font>
      <sz val="11"/>
      <color rgb="FF9C6500"/>
      <name val="Calibri"/>
      <family val="2"/>
    </font>
    <font>
      <b/>
      <sz val="11"/>
      <color theme="1"/>
      <name val="Calibri"/>
      <family val="2"/>
    </font>
    <font>
      <b/>
      <sz val="8"/>
      <name val="Calibri"/>
      <family val="2"/>
    </font>
  </fonts>
  <fills count="4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1"/>
      </patternFill>
    </fill>
    <fill>
      <patternFill patternType="solid">
        <fgColor rgb="FFFFFF00"/>
        <bgColor indexed="64"/>
      </patternFill>
    </fill>
    <fill>
      <patternFill patternType="gray0625">
        <fgColor indexed="52"/>
        <bgColor rgb="FFFFFF00"/>
      </patternFill>
    </fill>
    <fill>
      <patternFill patternType="solid">
        <fgColor theme="9" tint="0.7999799847602844"/>
        <bgColor indexed="64"/>
      </patternFill>
    </fill>
    <fill>
      <patternFill patternType="gray0625">
        <fgColor indexed="52"/>
        <bgColor theme="9" tint="0.7999799847602844"/>
      </patternFill>
    </fill>
    <fill>
      <patternFill patternType="gray0625">
        <fgColor indexed="51"/>
        <bgColor indexed="43"/>
      </patternFill>
    </fill>
    <fill>
      <patternFill patternType="solid">
        <fgColor indexed="18"/>
        <bgColor indexed="64"/>
      </patternFill>
    </fill>
    <fill>
      <patternFill patternType="solid">
        <fgColor indexed="41"/>
        <bgColor indexed="64"/>
      </patternFill>
    </fill>
    <fill>
      <patternFill patternType="gray0625">
        <fgColor indexed="51"/>
        <bgColor theme="9" tint="0.7999799847602844"/>
      </patternFill>
    </fill>
    <fill>
      <patternFill patternType="solid">
        <fgColor indexed="13"/>
        <bgColor indexed="64"/>
      </patternFill>
    </fill>
    <fill>
      <patternFill patternType="mediumGray">
        <fgColor indexed="9"/>
        <bgColor indexed="43"/>
      </patternFill>
    </fill>
    <fill>
      <patternFill patternType="mediumGray">
        <fgColor indexed="9"/>
        <bgColor indexed="44"/>
      </patternFill>
    </fill>
    <fill>
      <patternFill patternType="mediumGray">
        <fgColor indexed="9"/>
        <bgColor indexed="47"/>
      </patternFill>
    </fill>
  </fills>
  <borders count="2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medium">
        <color indexed="48"/>
      </left>
      <right style="thin"/>
      <top style="thin"/>
      <bottom style="thin"/>
    </border>
    <border>
      <left style="medium">
        <color indexed="48"/>
      </left>
      <right style="thin"/>
      <top style="thin"/>
      <bottom style="medium">
        <color indexed="48"/>
      </bottom>
    </border>
    <border>
      <left style="medium">
        <color indexed="48"/>
      </left>
      <right>
        <color indexed="63"/>
      </right>
      <top style="medium">
        <color indexed="48"/>
      </top>
      <bottom>
        <color indexed="63"/>
      </bottom>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color indexed="63"/>
      </top>
      <bottom style="medium">
        <color indexed="51"/>
      </bottom>
    </border>
    <border>
      <left style="medium">
        <color indexed="16"/>
      </left>
      <right style="thin">
        <color indexed="16"/>
      </right>
      <top>
        <color indexed="63"/>
      </top>
      <bottom style="thin">
        <color indexed="16"/>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color indexed="51"/>
      </right>
      <top style="thin"/>
      <bottom style="thin"/>
    </border>
    <border>
      <left style="thin"/>
      <right style="thin"/>
      <top style="thin"/>
      <bottom style="medium">
        <color indexed="51"/>
      </bottom>
    </border>
    <border>
      <left style="thin"/>
      <right style="medium">
        <color indexed="51"/>
      </right>
      <top style="thin"/>
      <bottom style="medium">
        <color indexed="51"/>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style="thin"/>
      <right>
        <color indexed="63"/>
      </right>
      <top style="thin"/>
      <bottom style="medium"/>
    </border>
    <border>
      <left style="thin"/>
      <right style="thin"/>
      <top style="thin"/>
      <bottom style="medium"/>
    </border>
    <border>
      <left/>
      <right>
        <color indexed="63"/>
      </right>
      <top style="thin">
        <color indexed="30"/>
      </top>
      <bottom style="thin">
        <color indexed="30"/>
      </bottom>
    </border>
    <border>
      <left style="thin">
        <color indexed="16"/>
      </left>
      <right style="medium">
        <color indexed="16"/>
      </right>
      <top style="medium">
        <color indexed="16"/>
      </top>
      <bottom style="thin">
        <color indexed="16"/>
      </bottom>
    </border>
    <border>
      <left style="medium"/>
      <right>
        <color indexed="63"/>
      </right>
      <top>
        <color indexed="63"/>
      </top>
      <bottom style="thin"/>
    </border>
    <border>
      <left style="thin">
        <color indexed="16"/>
      </left>
      <right style="thin">
        <color indexed="16"/>
      </right>
      <top style="medium">
        <color indexed="51"/>
      </top>
      <bottom style="thin"/>
    </border>
    <border>
      <left style="medium">
        <color indexed="60"/>
      </left>
      <right style="thin">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right style="thin"/>
      <top>
        <color indexed="63"/>
      </top>
      <bottom>
        <color indexed="63"/>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16"/>
      </left>
      <right style="thin">
        <color indexed="16"/>
      </right>
      <top style="thin">
        <color indexed="16"/>
      </top>
      <bottom style="thin">
        <color indexed="16"/>
      </botto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border>
    <border>
      <left style="thin"/>
      <right style="thin"/>
      <top style="thin"/>
      <bottom style="medium">
        <color indexed="16"/>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thin"/>
      <right style="medium">
        <color indexed="60"/>
      </right>
      <top style="thin"/>
      <bottom style="thin"/>
    </border>
    <border>
      <left style="thin">
        <color indexed="60"/>
      </left>
      <right style="thin">
        <color indexed="60"/>
      </right>
      <top style="thin">
        <color indexed="60"/>
      </top>
      <bottom style="medium">
        <color indexed="60"/>
      </bottom>
    </border>
    <border>
      <left style="thin">
        <color indexed="60"/>
      </left>
      <right style="thin">
        <color indexed="60"/>
      </right>
      <top style="medium">
        <color indexed="60"/>
      </top>
      <bottom style="thin"/>
    </border>
    <border>
      <left>
        <color indexed="63"/>
      </left>
      <right style="medium">
        <color indexed="60"/>
      </right>
      <top style="medium">
        <color indexed="60"/>
      </top>
      <bottom>
        <color indexed="63"/>
      </bottom>
    </border>
    <border>
      <left style="thin"/>
      <right style="thin"/>
      <top style="thin"/>
      <bottom style="medium">
        <color indexed="60"/>
      </bottom>
    </border>
    <border>
      <left style="thin"/>
      <right style="medium">
        <color indexed="60"/>
      </right>
      <top style="thin"/>
      <bottom style="medium">
        <color indexed="60"/>
      </bottom>
    </border>
    <border>
      <left style="thin"/>
      <right style="medium">
        <color indexed="16"/>
      </right>
      <top style="thin"/>
      <bottom style="thin"/>
    </border>
    <border>
      <left style="thin"/>
      <right style="medium">
        <color indexed="16"/>
      </right>
      <top style="thin"/>
      <bottom style="medium">
        <color indexed="16"/>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style="medium">
        <color indexed="48"/>
      </top>
      <bottom style="thin"/>
    </border>
    <border>
      <left style="thin"/>
      <right style="medium">
        <color indexed="48"/>
      </right>
      <top style="medium">
        <color indexed="48"/>
      </top>
      <bottom style="thin"/>
    </border>
    <border>
      <left style="thin"/>
      <right style="thin"/>
      <top style="thin"/>
      <bottom style="medium">
        <color indexed="48"/>
      </bottom>
    </border>
    <border>
      <left style="thin"/>
      <right style="medium">
        <color indexed="48"/>
      </right>
      <top style="thin"/>
      <bottom style="medium">
        <color indexed="48"/>
      </bottom>
    </border>
    <border>
      <left style="thin"/>
      <right style="medium">
        <color indexed="48"/>
      </right>
      <top style="thin"/>
      <bottom style="thin"/>
    </border>
    <border>
      <left style="thin">
        <color indexed="16"/>
      </left>
      <right style="thin">
        <color indexed="16"/>
      </right>
      <top style="medium"/>
      <bottom style="thin"/>
    </border>
    <border>
      <left style="thin">
        <color indexed="16"/>
      </left>
      <right style="medium">
        <color indexed="16"/>
      </right>
      <top style="medium"/>
      <bottom style="thin"/>
    </border>
    <border>
      <left style="medium">
        <color indexed="51"/>
      </left>
      <right style="medium">
        <color indexed="51"/>
      </right>
      <top style="medium">
        <color indexed="51"/>
      </top>
      <bottom style="thin"/>
    </border>
    <border>
      <left>
        <color indexed="63"/>
      </left>
      <right style="thin"/>
      <top style="medium">
        <color indexed="51"/>
      </top>
      <bottom style="thin"/>
    </border>
    <border>
      <left style="thin"/>
      <right style="thin"/>
      <top style="medium">
        <color indexed="51"/>
      </top>
      <bottom style="thin"/>
    </border>
    <border>
      <left style="medium">
        <color indexed="51"/>
      </left>
      <right style="medium">
        <color indexed="51"/>
      </right>
      <top>
        <color indexed="63"/>
      </top>
      <bottom style="thin"/>
    </border>
    <border>
      <left style="thin"/>
      <right style="thin"/>
      <top>
        <color indexed="63"/>
      </top>
      <bottom style="thin"/>
    </border>
    <border>
      <left style="medium">
        <color indexed="51"/>
      </left>
      <right style="medium">
        <color indexed="51"/>
      </right>
      <top style="thin"/>
      <bottom>
        <color indexed="63"/>
      </bottom>
    </border>
    <border>
      <left style="thin"/>
      <right>
        <color indexed="63"/>
      </right>
      <top style="thin"/>
      <bottom style="medium">
        <color indexed="51"/>
      </bottom>
    </border>
    <border>
      <left style="medium">
        <color indexed="51"/>
      </left>
      <right style="medium">
        <color indexed="51"/>
      </right>
      <top style="medium">
        <color indexed="51"/>
      </top>
      <bottom style="medium">
        <color indexed="51"/>
      </bottom>
    </border>
    <border>
      <left style="thin">
        <color indexed="16"/>
      </left>
      <right style="medium">
        <color indexed="51"/>
      </right>
      <top style="medium">
        <color indexed="51"/>
      </top>
      <bottom style="thin"/>
    </border>
    <border>
      <left>
        <color indexed="63"/>
      </left>
      <right style="medium">
        <color indexed="51"/>
      </right>
      <top>
        <color indexed="63"/>
      </top>
      <bottom style="thin"/>
    </border>
    <border>
      <left style="medium">
        <color indexed="60"/>
      </left>
      <right style="thin">
        <color indexed="60"/>
      </right>
      <top style="thin">
        <color indexed="6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color indexed="51"/>
      </left>
      <right style="thin"/>
      <top style="thin"/>
      <bottom>
        <color indexed="63"/>
      </bottom>
    </border>
    <border>
      <left style="medium">
        <color indexed="51"/>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51"/>
      </left>
      <right style="medium">
        <color indexed="51"/>
      </right>
      <top style="thin"/>
      <bottom style="thin"/>
    </border>
    <border>
      <left style="medium">
        <color indexed="51"/>
      </left>
      <right style="thin"/>
      <top style="thin"/>
      <bottom style="thin"/>
    </border>
    <border>
      <left>
        <color indexed="63"/>
      </left>
      <right style="thin"/>
      <top style="thin"/>
      <bottom style="medium">
        <color indexed="51"/>
      </bottom>
    </border>
    <border>
      <left style="medium">
        <color indexed="51"/>
      </left>
      <right>
        <color indexed="63"/>
      </right>
      <top style="thin"/>
      <bottom style="thin"/>
    </border>
    <border>
      <left>
        <color indexed="63"/>
      </left>
      <right style="medium">
        <color indexed="51"/>
      </right>
      <top style="thin"/>
      <bottom style="thin"/>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51"/>
      </left>
      <right style="medium">
        <color indexed="51"/>
      </right>
      <top style="thin"/>
      <bottom style="medium">
        <color indexed="51"/>
      </bottom>
    </border>
    <border>
      <left style="medium">
        <color indexed="51"/>
      </left>
      <right style="thin"/>
      <top style="thin"/>
      <bottom style="medium">
        <color indexed="51"/>
      </bottom>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medium">
        <color indexed="51"/>
      </top>
      <bottom>
        <color indexed="63"/>
      </bottom>
    </border>
    <border>
      <left>
        <color indexed="63"/>
      </left>
      <right>
        <color indexed="63"/>
      </right>
      <top style="medium">
        <color indexed="51"/>
      </top>
      <bottom>
        <color indexed="63"/>
      </bottom>
    </border>
    <border>
      <left>
        <color indexed="63"/>
      </left>
      <right style="medium">
        <color indexed="51"/>
      </right>
      <top style="medium">
        <color indexed="51"/>
      </top>
      <bottom>
        <color indexed="63"/>
      </bottom>
    </border>
    <border>
      <left style="medium">
        <color indexed="51"/>
      </left>
      <right>
        <color indexed="63"/>
      </right>
      <top>
        <color indexed="63"/>
      </top>
      <bottom style="medium">
        <color indexed="51"/>
      </bottom>
    </border>
    <border>
      <left>
        <color indexed="63"/>
      </left>
      <right style="medium">
        <color indexed="51"/>
      </right>
      <top>
        <color indexed="63"/>
      </top>
      <bottom style="medium">
        <color indexed="51"/>
      </bottom>
    </border>
    <border>
      <left style="medium">
        <color indexed="51"/>
      </left>
      <right>
        <color indexed="63"/>
      </right>
      <top style="thin"/>
      <bottom>
        <color indexed="63"/>
      </bottom>
    </border>
    <border>
      <left>
        <color indexed="63"/>
      </left>
      <right style="medium">
        <color indexed="51"/>
      </right>
      <top style="thin"/>
      <bottom>
        <color indexed="63"/>
      </bottom>
    </border>
    <border>
      <left>
        <color indexed="63"/>
      </left>
      <right style="thin"/>
      <top>
        <color indexed="63"/>
      </top>
      <bottom>
        <color indexed="63"/>
      </bottom>
    </border>
    <border>
      <left style="medium">
        <color indexed="48"/>
      </left>
      <right style="thin"/>
      <top style="medium">
        <color indexed="48"/>
      </top>
      <bottom style="thin"/>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ck">
        <color indexed="9"/>
      </left>
      <right>
        <color indexed="63"/>
      </right>
      <top>
        <color indexed="63"/>
      </top>
      <bottom>
        <color indexed="63"/>
      </bottom>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right>
        <color indexed="63"/>
      </right>
      <top/>
      <bottom style="medium">
        <color indexed="52"/>
      </bottom>
    </border>
    <border>
      <left>
        <color indexed="63"/>
      </left>
      <right style="medium">
        <color indexed="52"/>
      </right>
      <top/>
      <bottom style="medium">
        <color indexed="52"/>
      </bottom>
    </border>
    <border>
      <left style="medium">
        <color indexed="60"/>
      </left>
      <right>
        <color indexed="63"/>
      </right>
      <top style="hair"/>
      <bottom style="hair"/>
    </border>
    <border>
      <left>
        <color indexed="63"/>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right/>
      <top style="hair">
        <color indexed="23"/>
      </top>
      <bottom style="hair">
        <color indexed="23"/>
      </bottom>
    </border>
    <border>
      <left>
        <color indexed="63"/>
      </left>
      <right style="medium">
        <color indexed="60"/>
      </right>
      <top style="hair">
        <color indexed="23"/>
      </top>
      <bottom style="hair">
        <color indexed="23"/>
      </bottom>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hair"/>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hair">
        <color indexed="57"/>
      </left>
      <right style="medium">
        <color indexed="57"/>
      </right>
      <top style="medium">
        <color indexed="57"/>
      </top>
      <bottom style="medium">
        <color indexed="57"/>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color indexed="57"/>
      </left>
      <right style="hair">
        <color indexed="57"/>
      </right>
      <top style="medium">
        <color indexed="57"/>
      </top>
      <bottom style="medium">
        <color indexed="57"/>
      </bottom>
    </border>
    <border>
      <left style="thin"/>
      <right style="thin"/>
      <top style="thin"/>
      <bottom>
        <color indexed="63"/>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right style="hair"/>
      <top style="hair"/>
      <bottom style="medium"/>
    </border>
    <border>
      <left style="hair"/>
      <right style="hair"/>
      <top style="hair"/>
      <bottom style="mediu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color indexed="63"/>
      </left>
      <right style="medium"/>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style="hair"/>
    </border>
    <border>
      <left style="hair"/>
      <right style="medium"/>
      <top style="hair"/>
      <bottom style="medium"/>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188"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43" fontId="2" fillId="0" borderId="0" applyFill="0" applyBorder="0" applyAlignment="0" applyProtection="0"/>
    <xf numFmtId="0" fontId="138" fillId="27" borderId="0" applyNumberFormat="0" applyBorder="0" applyAlignment="0" applyProtection="0"/>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0" fontId="139" fillId="0" borderId="11" applyNumberFormat="0" applyFill="0" applyAlignment="0" applyProtection="0"/>
    <xf numFmtId="0" fontId="77" fillId="0" borderId="0" applyNumberFormat="0" applyFill="0" applyBorder="0" applyAlignment="0" applyProtection="0"/>
  </cellStyleXfs>
  <cellXfs count="959">
    <xf numFmtId="0" fontId="0" fillId="0" borderId="0" xfId="0" applyFont="1" applyAlignment="1">
      <alignment/>
    </xf>
    <xf numFmtId="43" fontId="19" fillId="0" borderId="0" xfId="90"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5" fillId="0" borderId="0" xfId="90" applyFont="1" applyFill="1" applyAlignment="1" applyProtection="1">
      <alignment vertical="center"/>
      <protection/>
    </xf>
    <xf numFmtId="0" fontId="24" fillId="0" borderId="0" xfId="0" applyFont="1" applyAlignment="1" applyProtection="1">
      <alignment/>
      <protection/>
    </xf>
    <xf numFmtId="43" fontId="22" fillId="0" borderId="0" xfId="101" applyFont="1" applyFill="1" applyAlignment="1" applyProtection="1">
      <alignment/>
      <protection/>
    </xf>
    <xf numFmtId="43" fontId="22" fillId="0" borderId="0" xfId="101" applyFont="1" applyFill="1" applyAlignment="1" applyProtection="1">
      <alignment horizontal="center"/>
      <protection/>
    </xf>
    <xf numFmtId="43" fontId="22" fillId="0" borderId="0" xfId="101" applyFont="1" applyFill="1" applyAlignment="1" applyProtection="1">
      <alignment horizontal="right"/>
      <protection/>
    </xf>
    <xf numFmtId="43" fontId="22" fillId="0" borderId="0" xfId="101" applyFont="1" applyFill="1" applyBorder="1" applyAlignment="1" applyProtection="1">
      <alignment horizontal="center"/>
      <protection/>
    </xf>
    <xf numFmtId="43" fontId="0" fillId="0" borderId="0" xfId="100" applyProtection="1">
      <alignment/>
      <protection/>
    </xf>
    <xf numFmtId="43" fontId="18" fillId="0" borderId="0" xfId="100" applyFont="1" applyProtection="1">
      <alignment/>
      <protection/>
    </xf>
    <xf numFmtId="0" fontId="21" fillId="0" borderId="0" xfId="100" applyNumberFormat="1" applyFont="1" applyBorder="1" applyProtection="1">
      <alignment/>
      <protection/>
    </xf>
    <xf numFmtId="43" fontId="0" fillId="0" borderId="0" xfId="102" applyProtection="1">
      <alignment/>
      <protection/>
    </xf>
    <xf numFmtId="43" fontId="0" fillId="0" borderId="0" xfId="102" applyFill="1" applyBorder="1" applyAlignment="1" applyProtection="1">
      <alignment horizontal="left"/>
      <protection/>
    </xf>
    <xf numFmtId="0" fontId="0" fillId="0" borderId="0" xfId="0" applyFill="1" applyBorder="1" applyAlignment="1" applyProtection="1">
      <alignment/>
      <protection/>
    </xf>
    <xf numFmtId="43" fontId="0" fillId="0" borderId="0" xfId="102" applyFill="1" applyBorder="1" applyProtection="1">
      <alignment/>
      <protection/>
    </xf>
    <xf numFmtId="0" fontId="18" fillId="0" borderId="0" xfId="0" applyFont="1" applyAlignment="1" applyProtection="1">
      <alignment/>
      <protection/>
    </xf>
    <xf numFmtId="43" fontId="18" fillId="0" borderId="0" xfId="102"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43" fontId="31" fillId="0" borderId="0" xfId="0" applyNumberFormat="1" applyFont="1" applyAlignment="1">
      <alignment/>
    </xf>
    <xf numFmtId="43" fontId="31" fillId="0" borderId="0" xfId="0" applyNumberFormat="1" applyFont="1" applyAlignment="1">
      <alignment horizontal="right"/>
    </xf>
    <xf numFmtId="183" fontId="31" fillId="0" borderId="0" xfId="64" applyNumberFormat="1" applyFont="1" applyAlignment="1">
      <alignment horizontal="left"/>
    </xf>
    <xf numFmtId="43" fontId="19" fillId="0" borderId="0" xfId="99"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43" fontId="31" fillId="0" borderId="0" xfId="0" applyNumberFormat="1" applyFont="1" applyFill="1" applyBorder="1" applyAlignment="1">
      <alignment/>
    </xf>
    <xf numFmtId="43" fontId="0" fillId="0" borderId="0" xfId="133" applyFill="1" applyBorder="1" applyAlignment="1" applyProtection="1">
      <alignment vertical="center"/>
      <protection locked="0"/>
    </xf>
    <xf numFmtId="180" fontId="36" fillId="0" borderId="0" xfId="0" applyNumberFormat="1" applyFont="1" applyFill="1" applyBorder="1" applyAlignment="1">
      <alignment horizontal="center"/>
    </xf>
    <xf numFmtId="43" fontId="42" fillId="0" borderId="0" xfId="133"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27"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43" fontId="71" fillId="0" borderId="0" xfId="100" applyFont="1" applyProtection="1">
      <alignment/>
      <protection/>
    </xf>
    <xf numFmtId="43" fontId="71" fillId="0" borderId="0" xfId="102"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43" fontId="71" fillId="0" borderId="12" xfId="102"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0" applyFont="1" applyFill="1" applyBorder="1" applyAlignment="1">
      <alignment/>
    </xf>
    <xf numFmtId="9" fontId="18" fillId="2" borderId="13" xfId="110" applyNumberFormat="1" applyFont="1" applyFill="1" applyBorder="1" applyAlignment="1">
      <alignment/>
    </xf>
    <xf numFmtId="0" fontId="18" fillId="2" borderId="13" xfId="0" applyFont="1" applyFill="1" applyBorder="1" applyAlignment="1">
      <alignment/>
    </xf>
    <xf numFmtId="9" fontId="18" fillId="2" borderId="13" xfId="110"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43" fontId="64" fillId="0" borderId="0" xfId="99"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06" applyNumberFormat="1" applyFont="1" applyFill="1" applyBorder="1" applyAlignment="1">
      <alignment horizontal="center" vertical="center" wrapText="1"/>
      <protection/>
    </xf>
    <xf numFmtId="0" fontId="78" fillId="8" borderId="15" xfId="106"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43" fontId="42" fillId="0" borderId="0" xfId="133"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43" fontId="34" fillId="0" borderId="16" xfId="133" applyFont="1" applyBorder="1" applyAlignment="1" applyProtection="1">
      <alignment/>
      <protection/>
    </xf>
    <xf numFmtId="43" fontId="34" fillId="0" borderId="0" xfId="133" applyFont="1" applyBorder="1" applyAlignment="1" applyProtection="1">
      <alignment/>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0" fontId="29" fillId="0" borderId="0" xfId="0" applyFont="1" applyFill="1" applyBorder="1" applyAlignment="1" applyProtection="1">
      <alignment horizontal="centerContinuous" wrapText="1"/>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43" fontId="41" fillId="0" borderId="22" xfId="133" applyFont="1" applyBorder="1" applyAlignment="1" applyProtection="1">
      <alignment/>
      <protection/>
    </xf>
    <xf numFmtId="43" fontId="41" fillId="0" borderId="0" xfId="133" applyFont="1" applyBorder="1" applyAlignment="1" applyProtection="1">
      <alignment/>
      <protection/>
    </xf>
    <xf numFmtId="0" fontId="17" fillId="0" borderId="23" xfId="0" applyFont="1" applyBorder="1" applyAlignment="1" applyProtection="1">
      <alignment horizontal="center"/>
      <protection/>
    </xf>
    <xf numFmtId="0" fontId="17" fillId="0" borderId="24" xfId="0" applyFont="1" applyBorder="1" applyAlignment="1" applyProtection="1">
      <alignment horizontal="center"/>
      <protection/>
    </xf>
    <xf numFmtId="0" fontId="0" fillId="0" borderId="25" xfId="0" applyBorder="1" applyAlignment="1" applyProtection="1">
      <alignment/>
      <protection/>
    </xf>
    <xf numFmtId="0" fontId="0" fillId="0" borderId="24" xfId="0" applyBorder="1" applyAlignment="1" applyProtection="1">
      <alignment horizontal="center"/>
      <protection/>
    </xf>
    <xf numFmtId="43" fontId="1" fillId="0" borderId="0" xfId="64" applyFont="1" applyFill="1" applyBorder="1" applyAlignment="1" applyProtection="1">
      <alignment/>
      <protection/>
    </xf>
    <xf numFmtId="3" fontId="2" fillId="12" borderId="12" xfId="0" applyNumberFormat="1" applyFont="1" applyFill="1" applyBorder="1" applyAlignment="1" applyProtection="1">
      <alignment horizontal="right" vertical="center"/>
      <protection locked="0"/>
    </xf>
    <xf numFmtId="3" fontId="2" fillId="12" borderId="12" xfId="0" applyNumberFormat="1" applyFont="1" applyFill="1" applyBorder="1" applyAlignment="1" applyProtection="1">
      <alignment vertical="center"/>
      <protection locked="0"/>
    </xf>
    <xf numFmtId="43" fontId="31" fillId="0" borderId="0" xfId="0" applyNumberFormat="1" applyFont="1" applyAlignment="1" applyProtection="1">
      <alignment horizontal="right"/>
      <protection/>
    </xf>
    <xf numFmtId="183"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43" fontId="31" fillId="0" borderId="0" xfId="0" applyNumberFormat="1" applyFont="1" applyAlignment="1" applyProtection="1">
      <alignment/>
      <protection/>
    </xf>
    <xf numFmtId="43" fontId="31" fillId="0" borderId="0" xfId="0" applyNumberFormat="1" applyFont="1" applyBorder="1" applyAlignment="1" applyProtection="1">
      <alignment/>
      <protection/>
    </xf>
    <xf numFmtId="43" fontId="31" fillId="0" borderId="0" xfId="0" applyNumberFormat="1" applyFont="1" applyBorder="1" applyAlignment="1" applyProtection="1">
      <alignment horizontal="right"/>
      <protection/>
    </xf>
    <xf numFmtId="183"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84"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186"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85" fontId="55" fillId="2" borderId="0" xfId="110"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26" xfId="0" applyNumberFormat="1" applyFont="1" applyFill="1" applyBorder="1" applyAlignment="1" applyProtection="1">
      <alignment horizontal="right"/>
      <protection/>
    </xf>
    <xf numFmtId="0" fontId="56" fillId="0" borderId="27" xfId="0" applyNumberFormat="1" applyFont="1" applyFill="1" applyBorder="1" applyAlignment="1" applyProtection="1">
      <alignment horizontal="right"/>
      <protection/>
    </xf>
    <xf numFmtId="0" fontId="56" fillId="0" borderId="28"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29"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0" xfId="0" applyNumberFormat="1" applyFont="1" applyFill="1" applyBorder="1" applyAlignment="1" applyProtection="1">
      <alignment horizontal="right"/>
      <protection/>
    </xf>
    <xf numFmtId="0" fontId="56" fillId="0" borderId="31" xfId="0" applyNumberFormat="1" applyFont="1" applyFill="1" applyBorder="1" applyAlignment="1" applyProtection="1">
      <alignment horizontal="right"/>
      <protection/>
    </xf>
    <xf numFmtId="0" fontId="38" fillId="0" borderId="32" xfId="0" applyNumberFormat="1" applyFont="1" applyFill="1" applyBorder="1" applyAlignment="1" applyProtection="1">
      <alignment vertical="center"/>
      <protection/>
    </xf>
    <xf numFmtId="0" fontId="38" fillId="0" borderId="33" xfId="0" applyNumberFormat="1" applyFont="1" applyFill="1" applyBorder="1" applyAlignment="1" applyProtection="1">
      <alignment vertical="center"/>
      <protection/>
    </xf>
    <xf numFmtId="0" fontId="38" fillId="0" borderId="34"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43"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40" fillId="0" borderId="0" xfId="0" applyNumberFormat="1" applyFont="1" applyBorder="1" applyAlignment="1" applyProtection="1">
      <alignment/>
      <protection/>
    </xf>
    <xf numFmtId="43" fontId="40" fillId="0" borderId="0" xfId="0" applyNumberFormat="1" applyFont="1" applyAlignment="1" applyProtection="1">
      <alignment/>
      <protection/>
    </xf>
    <xf numFmtId="0" fontId="0" fillId="0" borderId="0" xfId="0" applyBorder="1" applyAlignment="1">
      <alignment horizontal="center"/>
    </xf>
    <xf numFmtId="0" fontId="18" fillId="2" borderId="0" xfId="0" applyFont="1" applyFill="1" applyAlignment="1">
      <alignment/>
    </xf>
    <xf numFmtId="183" fontId="18" fillId="2" borderId="0" xfId="0" applyNumberFormat="1" applyFont="1" applyFill="1" applyAlignment="1">
      <alignment/>
    </xf>
    <xf numFmtId="3"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35" xfId="0" applyFont="1" applyFill="1" applyBorder="1" applyAlignment="1" applyProtection="1">
      <alignment horizontal="center" wrapText="1"/>
      <protection/>
    </xf>
    <xf numFmtId="0" fontId="31" fillId="0" borderId="36" xfId="0" applyFont="1" applyFill="1" applyBorder="1" applyAlignment="1" applyProtection="1">
      <alignment horizontal="center" wrapText="1"/>
      <protection/>
    </xf>
    <xf numFmtId="0" fontId="0" fillId="0" borderId="36" xfId="0" applyBorder="1" applyAlignment="1" applyProtection="1">
      <alignment/>
      <protection/>
    </xf>
    <xf numFmtId="43" fontId="20" fillId="0" borderId="0" xfId="98" applyFont="1" applyFill="1" applyAlignment="1" applyProtection="1">
      <alignment horizontal="center" vertical="center"/>
      <protection/>
    </xf>
    <xf numFmtId="43" fontId="19" fillId="0" borderId="0" xfId="98" applyFont="1" applyFill="1" applyAlignment="1" applyProtection="1">
      <alignment vertical="center"/>
      <protection/>
    </xf>
    <xf numFmtId="0" fontId="85" fillId="0" borderId="0" xfId="0" applyFont="1" applyAlignment="1">
      <alignment/>
    </xf>
    <xf numFmtId="43" fontId="17" fillId="0" borderId="0" xfId="0" applyNumberFormat="1" applyFont="1" applyAlignment="1" applyProtection="1">
      <alignment horizontal="center"/>
      <protection/>
    </xf>
    <xf numFmtId="0" fontId="15" fillId="0" borderId="0" xfId="0" applyFont="1" applyAlignment="1">
      <alignment/>
    </xf>
    <xf numFmtId="0" fontId="0" fillId="2" borderId="0" xfId="0" applyFill="1" applyAlignment="1" applyProtection="1">
      <alignment/>
      <protection/>
    </xf>
    <xf numFmtId="0" fontId="0" fillId="2" borderId="37" xfId="0" applyFill="1" applyBorder="1" applyAlignment="1" applyProtection="1">
      <alignment/>
      <protection/>
    </xf>
    <xf numFmtId="43" fontId="88" fillId="0" borderId="0" xfId="0" applyNumberFormat="1" applyFont="1" applyAlignment="1">
      <alignment/>
    </xf>
    <xf numFmtId="0" fontId="88"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8" fillId="0" borderId="38" xfId="0" applyNumberFormat="1" applyFont="1" applyFill="1" applyBorder="1" applyAlignment="1" applyProtection="1">
      <alignment vertical="center"/>
      <protection/>
    </xf>
    <xf numFmtId="43" fontId="0" fillId="0" borderId="0" xfId="103" applyFill="1" applyBorder="1" applyAlignment="1" applyProtection="1">
      <alignment horizontal="center"/>
      <protection/>
    </xf>
    <xf numFmtId="0" fontId="38" fillId="0" borderId="0" xfId="0" applyFont="1" applyAlignment="1" applyProtection="1" quotePrefix="1">
      <alignment/>
      <protection/>
    </xf>
    <xf numFmtId="43" fontId="89" fillId="0" borderId="39" xfId="133" applyFont="1" applyFill="1" applyBorder="1" applyAlignment="1" applyProtection="1">
      <alignment/>
      <protection/>
    </xf>
    <xf numFmtId="3" fontId="2" fillId="28" borderId="12" xfId="0" applyNumberFormat="1" applyFont="1" applyFill="1" applyBorder="1" applyAlignment="1" applyProtection="1">
      <alignment vertical="center"/>
      <protection locked="0"/>
    </xf>
    <xf numFmtId="0" fontId="1" fillId="0" borderId="0" xfId="0" applyFont="1" applyAlignment="1">
      <alignment/>
    </xf>
    <xf numFmtId="0" fontId="1" fillId="0" borderId="0" xfId="0" applyFont="1" applyAlignment="1">
      <alignment/>
    </xf>
    <xf numFmtId="15" fontId="36" fillId="0" borderId="0" xfId="0" applyNumberFormat="1" applyFont="1" applyAlignment="1" applyProtection="1">
      <alignment horizontal="center"/>
      <protection/>
    </xf>
    <xf numFmtId="43" fontId="23" fillId="0" borderId="0" xfId="101" applyFont="1" applyFill="1" applyAlignment="1" applyProtection="1">
      <alignment horizontal="right" vertical="center"/>
      <protection/>
    </xf>
    <xf numFmtId="0" fontId="84" fillId="0" borderId="0" xfId="0" applyFont="1" applyFill="1" applyBorder="1" applyAlignment="1" applyProtection="1">
      <alignment/>
      <protection/>
    </xf>
    <xf numFmtId="0" fontId="92" fillId="0" borderId="0" xfId="0" applyFont="1" applyBorder="1" applyAlignment="1" applyProtection="1">
      <alignment/>
      <protection/>
    </xf>
    <xf numFmtId="15" fontId="36" fillId="0" borderId="40" xfId="0" applyNumberFormat="1" applyFont="1" applyBorder="1" applyAlignment="1" applyProtection="1">
      <alignment horizontal="center"/>
      <protection/>
    </xf>
    <xf numFmtId="0" fontId="92" fillId="0" borderId="0" xfId="0" applyFont="1" applyAlignment="1" applyProtection="1">
      <alignment horizontal="right"/>
      <protection/>
    </xf>
    <xf numFmtId="0" fontId="92" fillId="0" borderId="0" xfId="0" applyFont="1" applyAlignment="1" applyProtection="1">
      <alignment/>
      <protection/>
    </xf>
    <xf numFmtId="0" fontId="0" fillId="0" borderId="0" xfId="0" applyBorder="1" applyAlignment="1" applyProtection="1">
      <alignment/>
      <protection/>
    </xf>
    <xf numFmtId="3" fontId="0" fillId="0" borderId="0" xfId="0" applyNumberFormat="1" applyFill="1" applyAlignment="1" applyProtection="1">
      <alignment/>
      <protection/>
    </xf>
    <xf numFmtId="0" fontId="9" fillId="0" borderId="41" xfId="0" applyFont="1" applyBorder="1" applyAlignment="1" applyProtection="1">
      <alignment/>
      <protection/>
    </xf>
    <xf numFmtId="0" fontId="9" fillId="0" borderId="42" xfId="0" applyFont="1" applyBorder="1" applyAlignment="1" applyProtection="1">
      <alignment/>
      <protection/>
    </xf>
    <xf numFmtId="0" fontId="28" fillId="0" borderId="43" xfId="0" applyFont="1" applyBorder="1" applyAlignment="1" applyProtection="1">
      <alignment vertical="distributed"/>
      <protection/>
    </xf>
    <xf numFmtId="0" fontId="29" fillId="0" borderId="44" xfId="0" applyFont="1" applyFill="1" applyBorder="1" applyAlignment="1" applyProtection="1">
      <alignment/>
      <protection/>
    </xf>
    <xf numFmtId="0" fontId="36" fillId="3" borderId="45" xfId="0" applyFont="1" applyFill="1" applyBorder="1" applyAlignment="1" applyProtection="1">
      <alignment horizontal="centerContinuous"/>
      <protection/>
    </xf>
    <xf numFmtId="15" fontId="97" fillId="0" borderId="36" xfId="0" applyNumberFormat="1" applyFont="1" applyFill="1" applyBorder="1" applyAlignment="1" applyProtection="1">
      <alignment horizontal="center" wrapText="1"/>
      <protection/>
    </xf>
    <xf numFmtId="15" fontId="97" fillId="0" borderId="46" xfId="0" applyNumberFormat="1" applyFont="1" applyFill="1" applyBorder="1" applyAlignment="1" applyProtection="1">
      <alignment horizontal="center" wrapText="1"/>
      <protection/>
    </xf>
    <xf numFmtId="0" fontId="40" fillId="0" borderId="44" xfId="0" applyFont="1" applyFill="1" applyBorder="1" applyAlignment="1" applyProtection="1">
      <alignment horizontal="center"/>
      <protection/>
    </xf>
    <xf numFmtId="0" fontId="40" fillId="0" borderId="47" xfId="0" applyFont="1" applyFill="1" applyBorder="1" applyAlignment="1" applyProtection="1">
      <alignment horizontal="center"/>
      <protection/>
    </xf>
    <xf numFmtId="0" fontId="36" fillId="3" borderId="48" xfId="0" applyFont="1" applyFill="1" applyBorder="1" applyAlignment="1" applyProtection="1">
      <alignment horizontal="centerContinuous"/>
      <protection/>
    </xf>
    <xf numFmtId="0" fontId="0" fillId="0" borderId="49" xfId="0" applyBorder="1" applyAlignment="1" applyProtection="1">
      <alignment horizontal="center"/>
      <protection/>
    </xf>
    <xf numFmtId="0" fontId="0" fillId="0" borderId="44" xfId="0" applyBorder="1" applyAlignment="1" applyProtection="1">
      <alignment horizontal="center" wrapText="1"/>
      <protection/>
    </xf>
    <xf numFmtId="0" fontId="0" fillId="0" borderId="36" xfId="0" applyFill="1" applyBorder="1" applyAlignment="1" applyProtection="1">
      <alignment horizontal="center"/>
      <protection/>
    </xf>
    <xf numFmtId="3" fontId="2" fillId="28" borderId="50" xfId="0" applyNumberFormat="1" applyFont="1" applyFill="1" applyBorder="1" applyAlignment="1" applyProtection="1">
      <alignment vertical="center"/>
      <protection locked="0"/>
    </xf>
    <xf numFmtId="3" fontId="2" fillId="12" borderId="50" xfId="0" applyNumberFormat="1" applyFont="1" applyFill="1" applyBorder="1" applyAlignment="1" applyProtection="1">
      <alignment horizontal="right" vertical="center"/>
      <protection locked="0"/>
    </xf>
    <xf numFmtId="3" fontId="2" fillId="12" borderId="51" xfId="0" applyNumberFormat="1" applyFont="1" applyFill="1" applyBorder="1" applyAlignment="1" applyProtection="1">
      <alignment horizontal="right" vertical="center"/>
      <protection locked="0"/>
    </xf>
    <xf numFmtId="3" fontId="2" fillId="12" borderId="52" xfId="0" applyNumberFormat="1" applyFont="1" applyFill="1" applyBorder="1" applyAlignment="1" applyProtection="1">
      <alignment horizontal="right" vertical="center"/>
      <protection locked="0"/>
    </xf>
    <xf numFmtId="0" fontId="27" fillId="0" borderId="0" xfId="0" applyFont="1" applyAlignment="1" applyProtection="1">
      <alignment/>
      <protection/>
    </xf>
    <xf numFmtId="0" fontId="0" fillId="0" borderId="12" xfId="0" applyBorder="1" applyAlignment="1" applyProtection="1">
      <alignment horizontal="center"/>
      <protection/>
    </xf>
    <xf numFmtId="43" fontId="97" fillId="0" borderId="0" xfId="0" applyNumberFormat="1" applyFont="1" applyBorder="1" applyAlignment="1" applyProtection="1">
      <alignment vertical="center" wrapText="1"/>
      <protection/>
    </xf>
    <xf numFmtId="0" fontId="97" fillId="0" borderId="0" xfId="0" applyFont="1" applyFill="1" applyBorder="1" applyAlignment="1" applyProtection="1">
      <alignment wrapText="1"/>
      <protection/>
    </xf>
    <xf numFmtId="0" fontId="31" fillId="0" borderId="53" xfId="0" applyFont="1" applyFill="1" applyBorder="1" applyAlignment="1" applyProtection="1">
      <alignment wrapText="1"/>
      <protection/>
    </xf>
    <xf numFmtId="0" fontId="38" fillId="0" borderId="54" xfId="0" applyFont="1" applyFill="1" applyBorder="1" applyAlignment="1" applyProtection="1">
      <alignment horizontal="center" wrapText="1"/>
      <protection/>
    </xf>
    <xf numFmtId="0" fontId="24" fillId="2" borderId="55" xfId="0" applyFont="1" applyFill="1" applyBorder="1" applyAlignment="1" applyProtection="1">
      <alignment/>
      <protection/>
    </xf>
    <xf numFmtId="0" fontId="24" fillId="2" borderId="56" xfId="0" applyFont="1" applyFill="1" applyBorder="1" applyAlignment="1" applyProtection="1">
      <alignment/>
      <protection/>
    </xf>
    <xf numFmtId="0" fontId="31" fillId="0" borderId="0" xfId="0" applyFont="1" applyFill="1" applyBorder="1" applyAlignment="1" applyProtection="1">
      <alignment wrapText="1"/>
      <protection/>
    </xf>
    <xf numFmtId="1" fontId="0" fillId="2" borderId="12" xfId="0" applyNumberFormat="1" applyFill="1" applyBorder="1" applyAlignment="1" applyProtection="1">
      <alignment horizontal="center"/>
      <protection/>
    </xf>
    <xf numFmtId="1" fontId="0" fillId="2" borderId="57" xfId="0" applyNumberFormat="1" applyFill="1" applyBorder="1" applyAlignment="1" applyProtection="1">
      <alignment horizontal="center"/>
      <protection/>
    </xf>
    <xf numFmtId="0" fontId="0" fillId="0" borderId="57" xfId="0" applyBorder="1" applyAlignment="1" applyProtection="1">
      <alignment horizontal="center"/>
      <protection/>
    </xf>
    <xf numFmtId="9" fontId="99" fillId="14" borderId="12" xfId="110" applyFont="1" applyFill="1" applyBorder="1" applyAlignment="1" applyProtection="1">
      <alignment horizontal="center" vertical="center" wrapText="1"/>
      <protection/>
    </xf>
    <xf numFmtId="43" fontId="31" fillId="0" borderId="0" xfId="0" applyNumberFormat="1" applyFont="1" applyAlignment="1" applyProtection="1">
      <alignment/>
      <protection/>
    </xf>
    <xf numFmtId="15" fontId="31" fillId="0" borderId="0" xfId="0" applyNumberFormat="1" applyFont="1" applyAlignment="1">
      <alignment/>
    </xf>
    <xf numFmtId="0" fontId="0" fillId="0" borderId="39" xfId="0" applyBorder="1" applyAlignment="1">
      <alignment/>
    </xf>
    <xf numFmtId="43" fontId="27" fillId="13" borderId="58" xfId="127" applyFont="1" applyFill="1" applyBorder="1" applyAlignment="1" applyProtection="1">
      <alignment horizontal="center"/>
      <protection/>
    </xf>
    <xf numFmtId="15" fontId="27" fillId="13" borderId="58" xfId="127" applyNumberFormat="1" applyFont="1" applyFill="1" applyBorder="1" applyAlignment="1" applyProtection="1">
      <alignment horizontal="center"/>
      <protection/>
    </xf>
    <xf numFmtId="43" fontId="88" fillId="0" borderId="0" xfId="0" applyNumberFormat="1" applyFont="1" applyAlignment="1">
      <alignment/>
    </xf>
    <xf numFmtId="0" fontId="38" fillId="0" borderId="35" xfId="0" applyFont="1" applyFill="1" applyBorder="1" applyAlignment="1" applyProtection="1">
      <alignment horizontal="center" wrapText="1"/>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180" fontId="36" fillId="10" borderId="59" xfId="0" applyNumberFormat="1" applyFont="1" applyFill="1" applyBorder="1" applyAlignment="1" applyProtection="1">
      <alignment horizontal="center"/>
      <protection locked="0"/>
    </xf>
    <xf numFmtId="0" fontId="0" fillId="0" borderId="60" xfId="0" applyFill="1" applyBorder="1" applyAlignment="1" applyProtection="1">
      <alignment horizontal="center"/>
      <protection/>
    </xf>
    <xf numFmtId="0" fontId="0" fillId="0" borderId="0" xfId="0" applyBorder="1" applyAlignment="1">
      <alignment horizontal="left" wrapText="1"/>
    </xf>
    <xf numFmtId="43" fontId="39" fillId="0" borderId="0" xfId="0" applyNumberFormat="1" applyFont="1" applyAlignment="1">
      <alignment/>
    </xf>
    <xf numFmtId="0" fontId="0" fillId="0" borderId="0" xfId="0" applyBorder="1" applyAlignment="1">
      <alignment horizontal="left"/>
    </xf>
    <xf numFmtId="43" fontId="1" fillId="0" borderId="58" xfId="127" applyFont="1" applyBorder="1" applyAlignment="1" applyProtection="1">
      <alignment horizontal="right"/>
      <protection/>
    </xf>
    <xf numFmtId="43" fontId="38" fillId="0" borderId="0" xfId="102" applyFont="1" applyFill="1" applyBorder="1" applyProtection="1">
      <alignment/>
      <protection/>
    </xf>
    <xf numFmtId="180" fontId="17" fillId="10" borderId="61" xfId="0" applyNumberFormat="1" applyFont="1" applyFill="1" applyBorder="1" applyAlignment="1" applyProtection="1">
      <alignment horizontal="center"/>
      <protection locked="0"/>
    </xf>
    <xf numFmtId="49" fontId="28" fillId="0" borderId="62" xfId="0" applyNumberFormat="1" applyFont="1" applyFill="1" applyBorder="1" applyAlignment="1" applyProtection="1">
      <alignment vertical="center" wrapText="1"/>
      <protection/>
    </xf>
    <xf numFmtId="49" fontId="29" fillId="0" borderId="63" xfId="0" applyNumberFormat="1" applyFont="1" applyFill="1" applyBorder="1" applyAlignment="1" applyProtection="1">
      <alignment wrapText="1"/>
      <protection locked="0"/>
    </xf>
    <xf numFmtId="0" fontId="0" fillId="0" borderId="64" xfId="0" applyBorder="1" applyAlignment="1" applyProtection="1">
      <alignment/>
      <protection/>
    </xf>
    <xf numFmtId="0" fontId="0" fillId="0" borderId="65" xfId="0" applyNumberFormat="1" applyFill="1" applyBorder="1" applyAlignment="1">
      <alignment/>
    </xf>
    <xf numFmtId="0" fontId="0" fillId="0" borderId="12" xfId="0" applyNumberFormat="1" applyBorder="1" applyAlignment="1" quotePrefix="1">
      <alignment horizontal="center"/>
    </xf>
    <xf numFmtId="3" fontId="2" fillId="0" borderId="12" xfId="0" applyNumberFormat="1" applyFont="1" applyFill="1" applyBorder="1" applyAlignment="1" applyProtection="1">
      <alignment vertical="center"/>
      <protection/>
    </xf>
    <xf numFmtId="185" fontId="18" fillId="29" borderId="66" xfId="0" applyNumberFormat="1" applyFont="1" applyFill="1" applyBorder="1" applyAlignment="1" applyProtection="1">
      <alignment horizontal="center"/>
      <protection/>
    </xf>
    <xf numFmtId="185" fontId="24" fillId="29" borderId="66" xfId="0" applyNumberFormat="1" applyFont="1" applyFill="1" applyBorder="1" applyAlignment="1" applyProtection="1">
      <alignment horizontal="center"/>
      <protection/>
    </xf>
    <xf numFmtId="43" fontId="71" fillId="0" borderId="12" xfId="102"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67" xfId="0" applyFont="1" applyFill="1" applyBorder="1" applyAlignment="1" applyProtection="1">
      <alignment horizontal="center" vertical="center" wrapText="1"/>
      <protection/>
    </xf>
    <xf numFmtId="0" fontId="78" fillId="0" borderId="68" xfId="0" applyFont="1" applyFill="1" applyBorder="1" applyAlignment="1" applyProtection="1">
      <alignment horizontal="center"/>
      <protection/>
    </xf>
    <xf numFmtId="0" fontId="78" fillId="0" borderId="69" xfId="0" applyFont="1" applyFill="1" applyBorder="1" applyAlignment="1" applyProtection="1">
      <alignment horizontal="center"/>
      <protection/>
    </xf>
    <xf numFmtId="0" fontId="78" fillId="0" borderId="70" xfId="0" applyNumberFormat="1" applyFont="1" applyFill="1" applyBorder="1" applyAlignment="1" applyProtection="1">
      <alignment horizontal="center"/>
      <protection/>
    </xf>
    <xf numFmtId="0" fontId="78" fillId="0" borderId="71" xfId="0" applyNumberFormat="1" applyFont="1" applyFill="1" applyBorder="1" applyAlignment="1" applyProtection="1">
      <alignment horizontal="center"/>
      <protection/>
    </xf>
    <xf numFmtId="0" fontId="78" fillId="0" borderId="71" xfId="0" applyNumberFormat="1" applyFont="1" applyFill="1" applyBorder="1" applyAlignment="1" applyProtection="1">
      <alignment horizontal="center" vertical="center"/>
      <protection/>
    </xf>
    <xf numFmtId="0" fontId="78" fillId="0" borderId="72" xfId="0" applyNumberFormat="1" applyFont="1" applyFill="1" applyBorder="1" applyAlignment="1" applyProtection="1">
      <alignment horizontal="center" vertical="center"/>
      <protection/>
    </xf>
    <xf numFmtId="0" fontId="82" fillId="0" borderId="73" xfId="0" applyNumberFormat="1" applyFont="1" applyFill="1" applyBorder="1" applyAlignment="1" applyProtection="1">
      <alignment horizontal="center" vertical="center"/>
      <protection/>
    </xf>
    <xf numFmtId="0" fontId="82" fillId="0" borderId="74" xfId="0" applyNumberFormat="1" applyFont="1" applyFill="1" applyBorder="1" applyAlignment="1" applyProtection="1">
      <alignment horizontal="center" vertical="center"/>
      <protection/>
    </xf>
    <xf numFmtId="0" fontId="82" fillId="0" borderId="75" xfId="0" applyNumberFormat="1" applyFont="1" applyFill="1" applyBorder="1" applyAlignment="1" applyProtection="1">
      <alignment horizontal="center" vertical="center"/>
      <protection/>
    </xf>
    <xf numFmtId="0" fontId="78" fillId="0" borderId="76" xfId="0" applyFont="1" applyFill="1" applyBorder="1" applyAlignment="1" applyProtection="1">
      <alignment horizontal="center" vertical="center"/>
      <protection/>
    </xf>
    <xf numFmtId="180" fontId="17" fillId="10" borderId="77" xfId="0" applyNumberFormat="1" applyFont="1" applyFill="1" applyBorder="1" applyAlignment="1" applyProtection="1">
      <alignment horizontal="center"/>
      <protection locked="0"/>
    </xf>
    <xf numFmtId="43" fontId="1" fillId="0" borderId="58" xfId="127" applyFont="1" applyFill="1" applyBorder="1" applyAlignment="1" applyProtection="1">
      <alignment horizontal="right"/>
      <protection/>
    </xf>
    <xf numFmtId="0" fontId="0" fillId="0" borderId="0" xfId="0" applyAlignment="1" applyProtection="1">
      <alignment horizontal="right"/>
      <protection/>
    </xf>
    <xf numFmtId="0" fontId="38" fillId="12" borderId="0" xfId="0" applyFont="1" applyFill="1" applyAlignment="1" applyProtection="1">
      <alignment horizontal="right" vertical="top"/>
      <protection locked="0"/>
    </xf>
    <xf numFmtId="0" fontId="38" fillId="12" borderId="0" xfId="0" applyFont="1" applyFill="1" applyBorder="1" applyAlignment="1" applyProtection="1">
      <alignment horizontal="right" vertical="top"/>
      <protection locked="0"/>
    </xf>
    <xf numFmtId="0" fontId="31" fillId="0" borderId="0" xfId="0" applyFont="1" applyAlignment="1">
      <alignment horizontal="left"/>
    </xf>
    <xf numFmtId="0" fontId="31" fillId="0" borderId="0" xfId="0" applyFont="1" applyFill="1" applyAlignment="1">
      <alignment horizontal="left"/>
    </xf>
    <xf numFmtId="0" fontId="81" fillId="0" borderId="78" xfId="0" applyFont="1" applyBorder="1" applyAlignment="1">
      <alignment horizontal="left" vertical="center" wrapText="1"/>
    </xf>
    <xf numFmtId="0" fontId="81" fillId="0" borderId="77" xfId="0" applyFont="1" applyBorder="1" applyAlignment="1">
      <alignment horizontal="left" vertical="center" wrapText="1"/>
    </xf>
    <xf numFmtId="0" fontId="81" fillId="0" borderId="79" xfId="0" applyFont="1" applyBorder="1" applyAlignment="1">
      <alignment horizontal="left" vertical="center" wrapText="1"/>
    </xf>
    <xf numFmtId="0" fontId="31" fillId="0" borderId="0" xfId="0" applyFont="1" applyAlignment="1">
      <alignment/>
    </xf>
    <xf numFmtId="0" fontId="31" fillId="0" borderId="0" xfId="0" applyFont="1" applyFill="1" applyAlignment="1">
      <alignment/>
    </xf>
    <xf numFmtId="0" fontId="111" fillId="0" borderId="0" xfId="0" applyFont="1" applyFill="1" applyAlignment="1">
      <alignment/>
    </xf>
    <xf numFmtId="0" fontId="81" fillId="0" borderId="55" xfId="0" applyFont="1" applyBorder="1" applyAlignment="1" applyProtection="1">
      <alignment horizontal="justify" vertical="center" wrapText="1"/>
      <protection locked="0"/>
    </xf>
    <xf numFmtId="0" fontId="82" fillId="0" borderId="80" xfId="0" applyFont="1" applyBorder="1" applyAlignment="1" applyProtection="1">
      <alignment horizontal="justify" vertical="center" wrapText="1"/>
      <protection locked="0"/>
    </xf>
    <xf numFmtId="0" fontId="82" fillId="0" borderId="81" xfId="0" applyFont="1" applyBorder="1" applyAlignment="1" applyProtection="1">
      <alignment horizontal="justify" vertical="center" wrapText="1"/>
      <protection locked="0"/>
    </xf>
    <xf numFmtId="0" fontId="81" fillId="0" borderId="55" xfId="0" applyFont="1" applyBorder="1" applyAlignment="1" applyProtection="1">
      <alignment horizontal="left" vertical="center" wrapText="1"/>
      <protection locked="0"/>
    </xf>
    <xf numFmtId="0" fontId="81" fillId="0" borderId="80" xfId="0" applyFont="1" applyBorder="1" applyAlignment="1" applyProtection="1">
      <alignment horizontal="left" vertical="center" wrapText="1"/>
      <protection locked="0"/>
    </xf>
    <xf numFmtId="0" fontId="81" fillId="0" borderId="81" xfId="0" applyFont="1" applyBorder="1" applyAlignment="1" applyProtection="1">
      <alignment horizontal="left" vertical="center" wrapText="1"/>
      <protection locked="0"/>
    </xf>
    <xf numFmtId="0" fontId="81" fillId="12" borderId="55" xfId="0" applyFont="1" applyFill="1" applyBorder="1" applyAlignment="1">
      <alignment horizontal="justify" vertical="center" wrapText="1"/>
    </xf>
    <xf numFmtId="0" fontId="82" fillId="12" borderId="80" xfId="0" applyFont="1" applyFill="1" applyBorder="1" applyAlignment="1">
      <alignment horizontal="justify" vertical="center" wrapText="1"/>
    </xf>
    <xf numFmtId="0" fontId="82" fillId="12" borderId="81" xfId="0" applyFont="1" applyFill="1" applyBorder="1" applyAlignment="1">
      <alignment horizontal="justify" vertical="center" wrapText="1"/>
    </xf>
    <xf numFmtId="0" fontId="81" fillId="12" borderId="55" xfId="0" applyFont="1" applyFill="1" applyBorder="1" applyAlignment="1">
      <alignment horizontal="left" vertical="center" wrapText="1"/>
    </xf>
    <xf numFmtId="0" fontId="81" fillId="12" borderId="80" xfId="0" applyFont="1" applyFill="1" applyBorder="1" applyAlignment="1">
      <alignment horizontal="left" vertical="center" wrapText="1"/>
    </xf>
    <xf numFmtId="0" fontId="81" fillId="12" borderId="81" xfId="0" applyFont="1" applyFill="1" applyBorder="1" applyAlignment="1">
      <alignment horizontal="left" vertical="center" wrapText="1"/>
    </xf>
    <xf numFmtId="0" fontId="82" fillId="0" borderId="55" xfId="0" applyFont="1" applyBorder="1" applyAlignment="1">
      <alignment vertical="center" wrapText="1"/>
    </xf>
    <xf numFmtId="0" fontId="82" fillId="0" borderId="80" xfId="0" applyFont="1" applyBorder="1" applyAlignment="1">
      <alignment vertical="center" wrapText="1"/>
    </xf>
    <xf numFmtId="0" fontId="81" fillId="0" borderId="80" xfId="0" applyFont="1" applyBorder="1" applyAlignment="1">
      <alignment horizontal="justify" vertical="center" wrapText="1"/>
    </xf>
    <xf numFmtId="0" fontId="82" fillId="0" borderId="80" xfId="0" applyFont="1" applyBorder="1" applyAlignment="1">
      <alignment horizontal="justify" vertical="center" wrapText="1"/>
    </xf>
    <xf numFmtId="0" fontId="81" fillId="0" borderId="81" xfId="0" applyFont="1" applyBorder="1" applyAlignment="1">
      <alignment horizontal="justify" vertical="center" wrapText="1"/>
    </xf>
    <xf numFmtId="0" fontId="81" fillId="0" borderId="55" xfId="0" applyFont="1" applyBorder="1" applyAlignment="1">
      <alignment horizontal="justify" vertical="center" wrapText="1"/>
    </xf>
    <xf numFmtId="43" fontId="82" fillId="0" borderId="78" xfId="0" applyNumberFormat="1" applyFont="1" applyBorder="1" applyAlignment="1">
      <alignment horizontal="left" vertical="center" wrapText="1"/>
    </xf>
    <xf numFmtId="0" fontId="82" fillId="0" borderId="77" xfId="0" applyFont="1" applyBorder="1" applyAlignment="1">
      <alignment horizontal="left" vertical="center"/>
    </xf>
    <xf numFmtId="0" fontId="82" fillId="0" borderId="79" xfId="0" applyFont="1" applyBorder="1" applyAlignment="1">
      <alignment horizontal="left" vertical="center"/>
    </xf>
    <xf numFmtId="0" fontId="112" fillId="0" borderId="0" xfId="0" applyFont="1" applyAlignment="1">
      <alignment horizontal="right"/>
    </xf>
    <xf numFmtId="0" fontId="2" fillId="30" borderId="12" xfId="0" applyFont="1" applyFill="1" applyBorder="1" applyAlignment="1" applyProtection="1">
      <alignment horizontal="left"/>
      <protection/>
    </xf>
    <xf numFmtId="0" fontId="2" fillId="0" borderId="12" xfId="0" applyFont="1" applyFill="1" applyBorder="1" applyAlignment="1" applyProtection="1">
      <alignment horizontal="left"/>
      <protection/>
    </xf>
    <xf numFmtId="3" fontId="27" fillId="13" borderId="58" xfId="127" applyNumberFormat="1" applyFont="1" applyFill="1" applyBorder="1" applyAlignment="1" applyProtection="1">
      <alignment horizontal="left"/>
      <protection/>
    </xf>
    <xf numFmtId="15" fontId="27" fillId="13" borderId="58" xfId="127" applyNumberFormat="1" applyFont="1" applyFill="1" applyBorder="1" applyAlignment="1" applyProtection="1">
      <alignment horizontal="left"/>
      <protection/>
    </xf>
    <xf numFmtId="14" fontId="27" fillId="13" borderId="58" xfId="127" applyNumberFormat="1" applyFont="1" applyFill="1" applyBorder="1" applyAlignment="1" applyProtection="1">
      <alignment horizontal="left"/>
      <protection/>
    </xf>
    <xf numFmtId="190" fontId="27" fillId="13" borderId="58" xfId="127" applyNumberFormat="1" applyFont="1" applyFill="1" applyBorder="1" applyAlignment="1" applyProtection="1">
      <alignment horizontal="left"/>
      <protection/>
    </xf>
    <xf numFmtId="43" fontId="27" fillId="13" borderId="58" xfId="127" applyFont="1" applyFill="1" applyBorder="1" applyAlignment="1" applyProtection="1">
      <alignment horizontal="left"/>
      <protection/>
    </xf>
    <xf numFmtId="3" fontId="15" fillId="2" borderId="13" xfId="0" applyNumberFormat="1" applyFont="1" applyFill="1" applyBorder="1" applyAlignment="1">
      <alignment horizontal="right"/>
    </xf>
    <xf numFmtId="0" fontId="0" fillId="0" borderId="0" xfId="0" applyAlignment="1">
      <alignment horizontal="left"/>
    </xf>
    <xf numFmtId="3" fontId="38" fillId="0" borderId="12" xfId="0" applyNumberFormat="1" applyFont="1" applyBorder="1" applyAlignment="1" applyProtection="1">
      <alignment vertical="center" wrapText="1"/>
      <protection/>
    </xf>
    <xf numFmtId="0" fontId="0" fillId="0" borderId="0" xfId="0" applyAlignment="1" applyProtection="1">
      <alignment vertical="top" wrapText="1"/>
      <protection locked="0"/>
    </xf>
    <xf numFmtId="0" fontId="17" fillId="8" borderId="80" xfId="0" applyFont="1" applyFill="1" applyBorder="1" applyAlignment="1">
      <alignment/>
    </xf>
    <xf numFmtId="43" fontId="31" fillId="3" borderId="82" xfId="64" applyFont="1" applyFill="1" applyBorder="1" applyAlignment="1" applyProtection="1">
      <alignment horizontal="left"/>
      <protection locked="0"/>
    </xf>
    <xf numFmtId="43" fontId="31" fillId="0" borderId="12" xfId="64" applyFont="1" applyFill="1" applyBorder="1" applyAlignment="1" applyProtection="1">
      <alignment/>
      <protection/>
    </xf>
    <xf numFmtId="43" fontId="31" fillId="3" borderId="82" xfId="64" applyFont="1" applyFill="1" applyBorder="1" applyAlignment="1" applyProtection="1">
      <alignment/>
      <protection locked="0"/>
    </xf>
    <xf numFmtId="43" fontId="0" fillId="0" borderId="0" xfId="64" applyFont="1" applyAlignment="1" applyProtection="1">
      <alignment/>
      <protection/>
    </xf>
    <xf numFmtId="43" fontId="98" fillId="0" borderId="0" xfId="64" applyFont="1" applyAlignment="1" applyProtection="1">
      <alignment vertical="center"/>
      <protection/>
    </xf>
    <xf numFmtId="43" fontId="0" fillId="0" borderId="0" xfId="64" applyFont="1" applyFill="1" applyAlignment="1">
      <alignment/>
    </xf>
    <xf numFmtId="43" fontId="100" fillId="0" borderId="0" xfId="64" applyFont="1" applyFill="1" applyAlignment="1" applyProtection="1">
      <alignment vertical="center"/>
      <protection/>
    </xf>
    <xf numFmtId="43" fontId="92" fillId="0" borderId="0" xfId="64" applyFont="1" applyAlignment="1" applyProtection="1">
      <alignment horizontal="right"/>
      <protection/>
    </xf>
    <xf numFmtId="43" fontId="92" fillId="0" borderId="0" xfId="64" applyFont="1" applyAlignment="1" applyProtection="1">
      <alignment/>
      <protection/>
    </xf>
    <xf numFmtId="43" fontId="0" fillId="0" borderId="12" xfId="64" applyFont="1" applyBorder="1" applyAlignment="1" applyProtection="1">
      <alignment horizontal="left"/>
      <protection locked="0"/>
    </xf>
    <xf numFmtId="43" fontId="0" fillId="0" borderId="0" xfId="64" applyFont="1" applyAlignment="1" applyProtection="1">
      <alignment horizontal="left"/>
      <protection/>
    </xf>
    <xf numFmtId="43" fontId="92" fillId="0" borderId="0" xfId="64" applyFont="1" applyBorder="1" applyAlignment="1" applyProtection="1">
      <alignment/>
      <protection/>
    </xf>
    <xf numFmtId="43" fontId="92" fillId="0" borderId="0" xfId="64" applyFont="1" applyBorder="1" applyAlignment="1" applyProtection="1">
      <alignment horizontal="right"/>
      <protection/>
    </xf>
    <xf numFmtId="43" fontId="92" fillId="0" borderId="83" xfId="64" applyFont="1" applyBorder="1" applyAlignment="1" applyProtection="1">
      <alignment horizontal="right"/>
      <protection/>
    </xf>
    <xf numFmtId="43" fontId="0" fillId="0" borderId="0" xfId="64" applyFont="1" applyBorder="1" applyAlignment="1" applyProtection="1">
      <alignment/>
      <protection/>
    </xf>
    <xf numFmtId="43" fontId="0" fillId="0" borderId="0" xfId="64" applyFont="1" applyAlignment="1" applyProtection="1">
      <alignment/>
      <protection/>
    </xf>
    <xf numFmtId="43" fontId="0" fillId="3" borderId="12" xfId="64" applyFont="1" applyFill="1" applyBorder="1" applyAlignment="1" applyProtection="1">
      <alignment/>
      <protection/>
    </xf>
    <xf numFmtId="43" fontId="0" fillId="13" borderId="12" xfId="64" applyFont="1" applyFill="1" applyBorder="1" applyAlignment="1" applyProtection="1">
      <alignment/>
      <protection/>
    </xf>
    <xf numFmtId="43" fontId="0" fillId="0" borderId="0" xfId="64" applyFont="1" applyFill="1" applyBorder="1" applyAlignment="1">
      <alignment/>
    </xf>
    <xf numFmtId="43" fontId="0" fillId="0" borderId="16" xfId="64" applyFont="1" applyFill="1" applyBorder="1" applyAlignment="1" applyProtection="1">
      <alignment vertical="center"/>
      <protection/>
    </xf>
    <xf numFmtId="43" fontId="93" fillId="0" borderId="16" xfId="64" applyFont="1" applyFill="1" applyBorder="1" applyAlignment="1" applyProtection="1">
      <alignment horizontal="left" vertical="center"/>
      <protection/>
    </xf>
    <xf numFmtId="43" fontId="1" fillId="0" borderId="16" xfId="64" applyFont="1" applyFill="1" applyBorder="1" applyAlignment="1" applyProtection="1">
      <alignment vertical="center"/>
      <protection/>
    </xf>
    <xf numFmtId="43" fontId="0" fillId="3" borderId="84" xfId="64" applyFont="1" applyFill="1" applyBorder="1" applyAlignment="1" applyProtection="1">
      <alignment vertical="center"/>
      <protection/>
    </xf>
    <xf numFmtId="43" fontId="85" fillId="0" borderId="12" xfId="64" applyFont="1" applyBorder="1" applyAlignment="1" applyProtection="1">
      <alignment horizontal="center"/>
      <protection locked="0"/>
    </xf>
    <xf numFmtId="43" fontId="0" fillId="0" borderId="0" xfId="64" applyFont="1" applyFill="1" applyBorder="1" applyAlignment="1" applyProtection="1">
      <alignment vertical="center"/>
      <protection/>
    </xf>
    <xf numFmtId="43" fontId="1" fillId="0" borderId="0" xfId="64" applyFont="1" applyFill="1" applyBorder="1" applyAlignment="1" applyProtection="1">
      <alignment vertical="center"/>
      <protection/>
    </xf>
    <xf numFmtId="43" fontId="0" fillId="0" borderId="0" xfId="64" applyFont="1" applyFill="1" applyBorder="1" applyAlignment="1" applyProtection="1">
      <alignment vertical="center"/>
      <protection locked="0"/>
    </xf>
    <xf numFmtId="43" fontId="0" fillId="0" borderId="0" xfId="64" applyFont="1" applyAlignment="1" applyProtection="1">
      <alignment horizontal="center"/>
      <protection/>
    </xf>
    <xf numFmtId="43" fontId="36" fillId="10" borderId="85" xfId="64" applyFont="1" applyFill="1" applyBorder="1" applyAlignment="1" applyProtection="1">
      <alignment horizontal="center"/>
      <protection locked="0"/>
    </xf>
    <xf numFmtId="43" fontId="36" fillId="10" borderId="82" xfId="64" applyFont="1" applyFill="1" applyBorder="1" applyAlignment="1" applyProtection="1">
      <alignment horizontal="center"/>
      <protection locked="0"/>
    </xf>
    <xf numFmtId="43" fontId="31" fillId="3" borderId="86" xfId="64" applyFont="1" applyFill="1" applyBorder="1" applyAlignment="1" applyProtection="1">
      <alignment/>
      <protection locked="0"/>
    </xf>
    <xf numFmtId="43" fontId="31" fillId="3" borderId="85" xfId="64" applyFont="1" applyFill="1" applyBorder="1" applyAlignment="1" applyProtection="1">
      <alignment/>
      <protection locked="0"/>
    </xf>
    <xf numFmtId="43" fontId="31" fillId="3" borderId="86" xfId="64" applyFont="1" applyFill="1" applyBorder="1" applyAlignment="1" applyProtection="1">
      <alignment horizontal="right"/>
      <protection locked="0"/>
    </xf>
    <xf numFmtId="43" fontId="31" fillId="0" borderId="87" xfId="64" applyFont="1" applyFill="1" applyBorder="1" applyAlignment="1" applyProtection="1">
      <alignment/>
      <protection/>
    </xf>
    <xf numFmtId="43" fontId="18" fillId="0" borderId="0" xfId="64" applyFont="1" applyAlignment="1" applyProtection="1">
      <alignment/>
      <protection/>
    </xf>
    <xf numFmtId="43" fontId="36" fillId="0" borderId="0" xfId="64" applyFont="1" applyFill="1" applyBorder="1" applyAlignment="1">
      <alignment horizontal="center"/>
    </xf>
    <xf numFmtId="43" fontId="31" fillId="0" borderId="0" xfId="64" applyFont="1" applyFill="1" applyBorder="1" applyAlignment="1">
      <alignment/>
    </xf>
    <xf numFmtId="43" fontId="28" fillId="0" borderId="88" xfId="64" applyFont="1" applyFill="1" applyBorder="1" applyAlignment="1" applyProtection="1">
      <alignment horizontal="center" vertical="center" wrapText="1"/>
      <protection/>
    </xf>
    <xf numFmtId="43" fontId="28" fillId="0" borderId="89" xfId="64" applyFont="1" applyFill="1" applyBorder="1" applyAlignment="1" applyProtection="1">
      <alignment horizontal="center" vertical="center" wrapText="1"/>
      <protection/>
    </xf>
    <xf numFmtId="43" fontId="9" fillId="0" borderId="0" xfId="64" applyFont="1" applyFill="1" applyBorder="1" applyAlignment="1" applyProtection="1">
      <alignment horizontal="center" vertical="center"/>
      <protection/>
    </xf>
    <xf numFmtId="43" fontId="29" fillId="0" borderId="0" xfId="64" applyFont="1" applyFill="1" applyBorder="1" applyAlignment="1" applyProtection="1">
      <alignment horizontal="centerContinuous"/>
      <protection/>
    </xf>
    <xf numFmtId="43" fontId="29" fillId="0" borderId="0" xfId="64" applyFont="1" applyFill="1" applyBorder="1" applyAlignment="1">
      <alignment horizontal="centerContinuous"/>
    </xf>
    <xf numFmtId="43" fontId="0" fillId="0" borderId="0" xfId="64" applyFont="1" applyAlignment="1">
      <alignment/>
    </xf>
    <xf numFmtId="43" fontId="1" fillId="3" borderId="12" xfId="64" applyFont="1" applyFill="1" applyBorder="1" applyAlignment="1" applyProtection="1">
      <alignment/>
      <protection locked="0"/>
    </xf>
    <xf numFmtId="43" fontId="1" fillId="3" borderId="90" xfId="64" applyFont="1" applyFill="1" applyBorder="1" applyAlignment="1" applyProtection="1">
      <alignment/>
      <protection locked="0"/>
    </xf>
    <xf numFmtId="43" fontId="0" fillId="0" borderId="0" xfId="64" applyFont="1" applyFill="1" applyBorder="1" applyAlignment="1" applyProtection="1">
      <alignment/>
      <protection locked="0"/>
    </xf>
    <xf numFmtId="43" fontId="0" fillId="0" borderId="0" xfId="64" applyFont="1" applyFill="1" applyBorder="1" applyAlignment="1" applyProtection="1">
      <alignment horizontal="centerContinuous"/>
      <protection/>
    </xf>
    <xf numFmtId="43" fontId="0" fillId="0" borderId="0" xfId="64" applyFont="1" applyFill="1" applyBorder="1" applyAlignment="1">
      <alignment horizontal="centerContinuous"/>
    </xf>
    <xf numFmtId="43" fontId="0" fillId="0" borderId="0" xfId="64" applyFont="1" applyFill="1" applyBorder="1" applyAlignment="1" applyProtection="1">
      <alignment/>
      <protection/>
    </xf>
    <xf numFmtId="43" fontId="1" fillId="3" borderId="12" xfId="64" applyFont="1" applyFill="1" applyBorder="1" applyAlignment="1" applyProtection="1">
      <alignment/>
      <protection locked="0"/>
    </xf>
    <xf numFmtId="43" fontId="92" fillId="0" borderId="0" xfId="64" applyFont="1" applyFill="1" applyBorder="1" applyAlignment="1" applyProtection="1">
      <alignment/>
      <protection locked="0"/>
    </xf>
    <xf numFmtId="43" fontId="0" fillId="0" borderId="91" xfId="64" applyFont="1" applyBorder="1" applyAlignment="1" applyProtection="1">
      <alignment/>
      <protection/>
    </xf>
    <xf numFmtId="43" fontId="18" fillId="2" borderId="0" xfId="64" applyFont="1" applyFill="1" applyAlignment="1" applyProtection="1">
      <alignment/>
      <protection/>
    </xf>
    <xf numFmtId="43" fontId="9" fillId="0" borderId="0" xfId="64" applyFont="1" applyAlignment="1" applyProtection="1">
      <alignment horizontal="right"/>
      <protection/>
    </xf>
    <xf numFmtId="43" fontId="30" fillId="0" borderId="92" xfId="64" applyFont="1" applyFill="1" applyBorder="1" applyAlignment="1" applyProtection="1">
      <alignment horizontal="center" vertical="center" wrapText="1"/>
      <protection/>
    </xf>
    <xf numFmtId="43" fontId="30" fillId="0" borderId="93" xfId="64" applyFont="1" applyFill="1" applyBorder="1" applyAlignment="1" applyProtection="1">
      <alignment horizontal="center" vertical="center" wrapText="1"/>
      <protection/>
    </xf>
    <xf numFmtId="43" fontId="94" fillId="0" borderId="0" xfId="64" applyFont="1" applyFill="1" applyBorder="1" applyAlignment="1" applyProtection="1">
      <alignment horizontal="center" vertical="center"/>
      <protection/>
    </xf>
    <xf numFmtId="43" fontId="32" fillId="0" borderId="0" xfId="64" applyFont="1" applyFill="1" applyBorder="1" applyAlignment="1" applyProtection="1">
      <alignment horizontal="center" vertical="center" wrapText="1"/>
      <protection/>
    </xf>
    <xf numFmtId="43" fontId="32" fillId="0" borderId="0" xfId="64" applyFont="1" applyFill="1" applyBorder="1" applyAlignment="1" applyProtection="1">
      <alignment horizontal="center" vertical="center" wrapText="1"/>
      <protection locked="0"/>
    </xf>
    <xf numFmtId="43" fontId="9" fillId="3" borderId="12" xfId="64" applyFont="1" applyFill="1" applyBorder="1" applyAlignment="1" applyProtection="1">
      <alignment/>
      <protection locked="0"/>
    </xf>
    <xf numFmtId="43" fontId="9" fillId="0" borderId="90" xfId="64" applyFont="1" applyFill="1" applyBorder="1" applyAlignment="1" applyProtection="1">
      <alignment/>
      <protection/>
    </xf>
    <xf numFmtId="43" fontId="9" fillId="0" borderId="0" xfId="64" applyFont="1" applyFill="1" applyBorder="1" applyAlignment="1" applyProtection="1">
      <alignment horizontal="centerContinuous"/>
      <protection/>
    </xf>
    <xf numFmtId="43" fontId="9" fillId="0" borderId="0" xfId="64" applyFont="1" applyFill="1" applyBorder="1" applyAlignment="1" applyProtection="1">
      <alignment/>
      <protection locked="0"/>
    </xf>
    <xf numFmtId="43" fontId="18" fillId="0" borderId="0" xfId="64" applyFont="1" applyFill="1" applyBorder="1" applyAlignment="1" applyProtection="1">
      <alignment/>
      <protection/>
    </xf>
    <xf numFmtId="43" fontId="9" fillId="0" borderId="0" xfId="64" applyFont="1" applyFill="1" applyBorder="1" applyAlignment="1" applyProtection="1">
      <alignment/>
      <protection locked="0"/>
    </xf>
    <xf numFmtId="43" fontId="9" fillId="0" borderId="0" xfId="64" applyFont="1" applyFill="1" applyBorder="1" applyAlignment="1" applyProtection="1">
      <alignment horizontal="center"/>
      <protection/>
    </xf>
    <xf numFmtId="43" fontId="9" fillId="0" borderId="0" xfId="64" applyFont="1" applyFill="1" applyBorder="1" applyAlignment="1">
      <alignment horizontal="center"/>
    </xf>
    <xf numFmtId="43" fontId="1" fillId="0" borderId="0" xfId="64" applyFont="1" applyAlignment="1" applyProtection="1">
      <alignment/>
      <protection/>
    </xf>
    <xf numFmtId="43" fontId="95" fillId="0" borderId="0" xfId="64" applyFont="1" applyFill="1" applyBorder="1" applyAlignment="1" applyProtection="1">
      <alignment horizontal="left"/>
      <protection locked="0"/>
    </xf>
    <xf numFmtId="43" fontId="9" fillId="0" borderId="0" xfId="64" applyFont="1" applyFill="1" applyBorder="1" applyAlignment="1" applyProtection="1">
      <alignment horizontal="center"/>
      <protection locked="0"/>
    </xf>
    <xf numFmtId="43" fontId="9" fillId="3" borderId="94" xfId="64" applyFont="1" applyFill="1" applyBorder="1" applyAlignment="1" applyProtection="1">
      <alignment/>
      <protection/>
    </xf>
    <xf numFmtId="43" fontId="9" fillId="3" borderId="94" xfId="64" applyFont="1" applyFill="1" applyBorder="1" applyAlignment="1" applyProtection="1">
      <alignment/>
      <protection/>
    </xf>
    <xf numFmtId="43" fontId="9" fillId="0" borderId="95" xfId="64" applyFont="1" applyFill="1" applyBorder="1" applyAlignment="1" applyProtection="1">
      <alignment/>
      <protection/>
    </xf>
    <xf numFmtId="43" fontId="96" fillId="0" borderId="0" xfId="64" applyFont="1" applyFill="1" applyBorder="1" applyAlignment="1" applyProtection="1">
      <alignment horizontal="left"/>
      <protection locked="0"/>
    </xf>
    <xf numFmtId="43" fontId="9" fillId="0" borderId="0" xfId="64" applyFont="1" applyFill="1" applyBorder="1" applyAlignment="1" applyProtection="1">
      <alignment/>
      <protection/>
    </xf>
    <xf numFmtId="43" fontId="0" fillId="0" borderId="0" xfId="64" applyFont="1" applyAlignment="1" applyProtection="1" quotePrefix="1">
      <alignment/>
      <protection/>
    </xf>
    <xf numFmtId="43" fontId="29" fillId="0" borderId="12" xfId="64" applyFont="1" applyFill="1" applyBorder="1" applyAlignment="1" applyProtection="1">
      <alignment horizontal="center"/>
      <protection/>
    </xf>
    <xf numFmtId="43" fontId="29" fillId="0" borderId="96" xfId="64" applyFont="1" applyFill="1" applyBorder="1" applyAlignment="1" applyProtection="1">
      <alignment horizontal="center"/>
      <protection/>
    </xf>
    <xf numFmtId="43" fontId="0" fillId="3" borderId="12" xfId="64" applyFont="1" applyFill="1" applyBorder="1" applyAlignment="1" applyProtection="1">
      <alignment horizontal="center"/>
      <protection locked="0"/>
    </xf>
    <xf numFmtId="43" fontId="0" fillId="3" borderId="96" xfId="64" applyFont="1" applyFill="1" applyBorder="1" applyAlignment="1" applyProtection="1">
      <alignment horizontal="center"/>
      <protection locked="0"/>
    </xf>
    <xf numFmtId="43" fontId="0" fillId="3" borderId="87" xfId="64" applyFont="1" applyFill="1" applyBorder="1" applyAlignment="1" applyProtection="1">
      <alignment horizontal="center"/>
      <protection locked="0"/>
    </xf>
    <xf numFmtId="43" fontId="0" fillId="3" borderId="97" xfId="64" applyFont="1" applyFill="1" applyBorder="1" applyAlignment="1" applyProtection="1">
      <alignment horizontal="center"/>
      <protection locked="0"/>
    </xf>
    <xf numFmtId="43" fontId="113" fillId="0" borderId="0" xfId="64" applyFont="1" applyAlignment="1" applyProtection="1">
      <alignment/>
      <protection/>
    </xf>
    <xf numFmtId="43" fontId="0" fillId="0" borderId="22" xfId="64" applyFont="1" applyBorder="1" applyAlignment="1" applyProtection="1">
      <alignment/>
      <protection/>
    </xf>
    <xf numFmtId="43" fontId="42" fillId="0" borderId="22" xfId="64" applyFont="1" applyFill="1" applyBorder="1" applyAlignment="1" applyProtection="1">
      <alignment vertical="center"/>
      <protection/>
    </xf>
    <xf numFmtId="43" fontId="101" fillId="0" borderId="22" xfId="64" applyFont="1" applyFill="1" applyBorder="1" applyAlignment="1" applyProtection="1">
      <alignment vertical="center"/>
      <protection/>
    </xf>
    <xf numFmtId="43" fontId="42" fillId="0" borderId="22" xfId="64" applyFont="1" applyFill="1" applyBorder="1" applyAlignment="1" applyProtection="1">
      <alignment horizontal="center" vertical="center"/>
      <protection/>
    </xf>
    <xf numFmtId="43" fontId="42" fillId="13" borderId="98" xfId="64" applyFont="1" applyFill="1" applyBorder="1" applyAlignment="1" applyProtection="1">
      <alignment horizontal="center" vertical="center"/>
      <protection/>
    </xf>
    <xf numFmtId="43" fontId="42" fillId="0" borderId="99" xfId="64" applyFont="1" applyFill="1" applyBorder="1" applyAlignment="1" applyProtection="1">
      <alignment vertical="center"/>
      <protection/>
    </xf>
    <xf numFmtId="43" fontId="42" fillId="0" borderId="0" xfId="64" applyFont="1" applyFill="1" applyBorder="1" applyAlignment="1" applyProtection="1">
      <alignment horizontal="center" vertical="center"/>
      <protection locked="0"/>
    </xf>
    <xf numFmtId="43" fontId="42" fillId="0" borderId="0" xfId="64" applyFont="1" applyFill="1" applyBorder="1" applyAlignment="1" applyProtection="1">
      <alignment vertical="center"/>
      <protection/>
    </xf>
    <xf numFmtId="43" fontId="43" fillId="0" borderId="0" xfId="64" applyFont="1" applyFill="1" applyBorder="1" applyAlignment="1" applyProtection="1">
      <alignment vertical="center"/>
      <protection/>
    </xf>
    <xf numFmtId="43" fontId="17" fillId="0" borderId="0" xfId="64" applyFont="1" applyBorder="1" applyAlignment="1" applyProtection="1">
      <alignment horizontal="center"/>
      <protection/>
    </xf>
    <xf numFmtId="43" fontId="0" fillId="0" borderId="0" xfId="64" applyFont="1" applyBorder="1" applyAlignment="1" applyProtection="1">
      <alignment/>
      <protection/>
    </xf>
    <xf numFmtId="43" fontId="17" fillId="0" borderId="100" xfId="64" applyFont="1" applyBorder="1" applyAlignment="1" applyProtection="1">
      <alignment horizontal="center"/>
      <protection/>
    </xf>
    <xf numFmtId="43" fontId="17" fillId="0" borderId="100" xfId="64" applyFont="1" applyBorder="1" applyAlignment="1" applyProtection="1">
      <alignment horizontal="center" wrapText="1"/>
      <protection/>
    </xf>
    <xf numFmtId="43" fontId="17" fillId="0" borderId="101" xfId="64" applyFont="1" applyBorder="1" applyAlignment="1" applyProtection="1">
      <alignment horizontal="center"/>
      <protection/>
    </xf>
    <xf numFmtId="43" fontId="1" fillId="0" borderId="0" xfId="64" applyFont="1" applyFill="1" applyBorder="1" applyAlignment="1" applyProtection="1">
      <alignment horizontal="center"/>
      <protection/>
    </xf>
    <xf numFmtId="43" fontId="42" fillId="0" borderId="0" xfId="64" applyFont="1" applyFill="1" applyBorder="1" applyAlignment="1" applyProtection="1">
      <alignment horizontal="center" vertical="center"/>
      <protection/>
    </xf>
    <xf numFmtId="43" fontId="24" fillId="13" borderId="12" xfId="64" applyFont="1" applyFill="1" applyBorder="1" applyAlignment="1" applyProtection="1">
      <alignment horizontal="center"/>
      <protection locked="0"/>
    </xf>
    <xf numFmtId="43" fontId="0" fillId="0" borderId="0" xfId="64" applyFont="1" applyFill="1" applyBorder="1" applyAlignment="1" applyProtection="1">
      <alignment horizontal="left" vertical="top"/>
      <protection locked="0"/>
    </xf>
    <xf numFmtId="43" fontId="24" fillId="13" borderId="102" xfId="64" applyFont="1" applyFill="1" applyBorder="1" applyAlignment="1" applyProtection="1">
      <alignment horizontal="center"/>
      <protection locked="0"/>
    </xf>
    <xf numFmtId="43" fontId="0" fillId="0" borderId="0" xfId="64" applyFont="1" applyBorder="1" applyAlignment="1">
      <alignment/>
    </xf>
    <xf numFmtId="43" fontId="0" fillId="0" borderId="100" xfId="64" applyFont="1" applyBorder="1" applyAlignment="1" applyProtection="1">
      <alignment horizontal="center"/>
      <protection/>
    </xf>
    <xf numFmtId="43" fontId="0" fillId="0" borderId="101" xfId="64" applyFont="1" applyBorder="1" applyAlignment="1" applyProtection="1">
      <alignment horizontal="center"/>
      <protection/>
    </xf>
    <xf numFmtId="43" fontId="0" fillId="13" borderId="102" xfId="64" applyFont="1" applyFill="1" applyBorder="1" applyAlignment="1" applyProtection="1">
      <alignment horizontal="center"/>
      <protection locked="0"/>
    </xf>
    <xf numFmtId="43" fontId="0" fillId="0" borderId="103" xfId="64" applyFont="1" applyFill="1" applyBorder="1" applyAlignment="1" applyProtection="1">
      <alignment horizontal="center"/>
      <protection/>
    </xf>
    <xf numFmtId="43" fontId="92" fillId="0" borderId="0" xfId="64" applyFont="1" applyFill="1" applyBorder="1" applyAlignment="1" applyProtection="1">
      <alignment horizontal="right"/>
      <protection/>
    </xf>
    <xf numFmtId="43" fontId="1" fillId="0" borderId="0" xfId="64" applyFont="1" applyFill="1" applyBorder="1" applyAlignment="1" applyProtection="1">
      <alignment horizontal="left"/>
      <protection/>
    </xf>
    <xf numFmtId="43" fontId="0" fillId="0" borderId="101" xfId="64" applyFont="1" applyBorder="1" applyAlignment="1" applyProtection="1">
      <alignment horizontal="center" wrapText="1"/>
      <protection/>
    </xf>
    <xf numFmtId="43" fontId="95" fillId="0" borderId="0" xfId="64" applyFont="1" applyFill="1" applyBorder="1" applyAlignment="1" applyProtection="1">
      <alignment horizontal="center" wrapText="1"/>
      <protection/>
    </xf>
    <xf numFmtId="43" fontId="0" fillId="13" borderId="103" xfId="64" applyFont="1" applyFill="1" applyBorder="1" applyAlignment="1" applyProtection="1">
      <alignment horizontal="center"/>
      <protection locked="0"/>
    </xf>
    <xf numFmtId="43" fontId="0" fillId="0" borderId="0" xfId="64" applyFont="1" applyFill="1" applyBorder="1" applyAlignment="1" applyProtection="1">
      <alignment horizontal="center"/>
      <protection locked="0"/>
    </xf>
    <xf numFmtId="43" fontId="36" fillId="0" borderId="100" xfId="64" applyFont="1" applyBorder="1" applyAlignment="1" applyProtection="1">
      <alignment horizontal="center"/>
      <protection/>
    </xf>
    <xf numFmtId="43" fontId="36" fillId="0" borderId="101" xfId="64" applyFont="1" applyBorder="1" applyAlignment="1" applyProtection="1">
      <alignment horizontal="center"/>
      <protection/>
    </xf>
    <xf numFmtId="43" fontId="0" fillId="13" borderId="12" xfId="64" applyFont="1" applyFill="1" applyBorder="1" applyAlignment="1" applyProtection="1">
      <alignment horizontal="center"/>
      <protection locked="0"/>
    </xf>
    <xf numFmtId="43" fontId="0" fillId="0" borderId="104" xfId="64" applyFont="1" applyFill="1" applyBorder="1" applyAlignment="1" applyProtection="1">
      <alignment horizontal="center"/>
      <protection/>
    </xf>
    <xf numFmtId="43" fontId="0" fillId="0" borderId="0" xfId="64" applyFont="1" applyBorder="1" applyAlignment="1" applyProtection="1">
      <alignment horizontal="right"/>
      <protection/>
    </xf>
    <xf numFmtId="43" fontId="0" fillId="0" borderId="0" xfId="64" applyFont="1" applyFill="1" applyBorder="1" applyAlignment="1" applyProtection="1">
      <alignment horizontal="right"/>
      <protection/>
    </xf>
    <xf numFmtId="43" fontId="36" fillId="10" borderId="105" xfId="64" applyFont="1" applyFill="1" applyBorder="1" applyAlignment="1" applyProtection="1">
      <alignment horizontal="center"/>
      <protection locked="0"/>
    </xf>
    <xf numFmtId="43" fontId="36" fillId="10" borderId="106" xfId="64" applyFont="1" applyFill="1" applyBorder="1" applyAlignment="1" applyProtection="1">
      <alignment horizontal="center"/>
      <protection locked="0"/>
    </xf>
    <xf numFmtId="43" fontId="0" fillId="13" borderId="12" xfId="64" applyFont="1" applyFill="1" applyBorder="1" applyAlignment="1" applyProtection="1">
      <alignment horizontal="right" wrapText="1"/>
      <protection locked="0"/>
    </xf>
    <xf numFmtId="43" fontId="0" fillId="0" borderId="12" xfId="64" applyFont="1" applyBorder="1" applyAlignment="1" applyProtection="1">
      <alignment horizontal="right" wrapText="1"/>
      <protection/>
    </xf>
    <xf numFmtId="43" fontId="1" fillId="0" borderId="12" xfId="64" applyFont="1" applyFill="1" applyBorder="1" applyAlignment="1" applyProtection="1">
      <alignment horizontal="right"/>
      <protection/>
    </xf>
    <xf numFmtId="43" fontId="0" fillId="0" borderId="0" xfId="64" applyFont="1" applyFill="1" applyBorder="1" applyAlignment="1" applyProtection="1">
      <alignment horizontal="center" wrapText="1"/>
      <protection/>
    </xf>
    <xf numFmtId="43" fontId="1" fillId="0" borderId="35" xfId="64" applyFont="1" applyFill="1" applyBorder="1" applyAlignment="1" applyProtection="1">
      <alignment horizontal="center" wrapText="1"/>
      <protection/>
    </xf>
    <xf numFmtId="43" fontId="31" fillId="0" borderId="35" xfId="64" applyFont="1" applyBorder="1" applyAlignment="1">
      <alignment horizontal="center" wrapText="1"/>
    </xf>
    <xf numFmtId="43" fontId="31" fillId="0" borderId="46" xfId="64" applyFont="1" applyFill="1" applyBorder="1" applyAlignment="1" applyProtection="1">
      <alignment horizontal="center" wrapText="1"/>
      <protection/>
    </xf>
    <xf numFmtId="43" fontId="0" fillId="13" borderId="12" xfId="64" applyFont="1" applyFill="1" applyBorder="1" applyAlignment="1" applyProtection="1">
      <alignment/>
      <protection locked="0"/>
    </xf>
    <xf numFmtId="43" fontId="0" fillId="0" borderId="12" xfId="64" applyFont="1" applyFill="1" applyBorder="1" applyAlignment="1" applyProtection="1">
      <alignment/>
      <protection/>
    </xf>
    <xf numFmtId="43" fontId="0" fillId="0" borderId="12" xfId="64" applyFont="1" applyFill="1" applyBorder="1" applyAlignment="1" applyProtection="1">
      <alignment horizontal="center"/>
      <protection/>
    </xf>
    <xf numFmtId="43" fontId="0" fillId="13" borderId="57" xfId="64" applyFont="1" applyFill="1" applyBorder="1" applyAlignment="1" applyProtection="1">
      <alignment horizontal="left"/>
      <protection locked="0"/>
    </xf>
    <xf numFmtId="43" fontId="0" fillId="13" borderId="57" xfId="64" applyFont="1" applyFill="1" applyBorder="1" applyAlignment="1" applyProtection="1">
      <alignment/>
      <protection locked="0"/>
    </xf>
    <xf numFmtId="43" fontId="0" fillId="13" borderId="57" xfId="64" applyFont="1" applyFill="1" applyBorder="1" applyAlignment="1" applyProtection="1">
      <alignment horizontal="center"/>
      <protection locked="0"/>
    </xf>
    <xf numFmtId="43" fontId="0" fillId="0" borderId="0" xfId="64" applyFont="1" applyAlignment="1" applyProtection="1">
      <alignment horizontal="right"/>
      <protection/>
    </xf>
    <xf numFmtId="43" fontId="70" fillId="0" borderId="39" xfId="64" applyFont="1" applyFill="1" applyBorder="1" applyAlignment="1" applyProtection="1">
      <alignment/>
      <protection/>
    </xf>
    <xf numFmtId="43" fontId="42" fillId="0" borderId="39" xfId="64" applyFont="1" applyFill="1" applyBorder="1" applyAlignment="1" applyProtection="1">
      <alignment vertical="center"/>
      <protection/>
    </xf>
    <xf numFmtId="43" fontId="90" fillId="0" borderId="39" xfId="64" applyFont="1" applyFill="1" applyBorder="1" applyAlignment="1" applyProtection="1">
      <alignment vertical="center"/>
      <protection/>
    </xf>
    <xf numFmtId="43" fontId="12" fillId="0" borderId="39" xfId="64" applyFont="1" applyFill="1" applyBorder="1" applyAlignment="1" applyProtection="1">
      <alignment vertical="center"/>
      <protection/>
    </xf>
    <xf numFmtId="43" fontId="0" fillId="0" borderId="39" xfId="64" applyFont="1" applyFill="1" applyBorder="1" applyAlignment="1" applyProtection="1">
      <alignment/>
      <protection/>
    </xf>
    <xf numFmtId="43" fontId="70" fillId="0" borderId="39" xfId="64" applyFont="1" applyFill="1" applyBorder="1" applyAlignment="1" applyProtection="1">
      <alignment vertical="center"/>
      <protection/>
    </xf>
    <xf numFmtId="43" fontId="0" fillId="0" borderId="39" xfId="64" applyFont="1" applyBorder="1" applyAlignment="1" applyProtection="1">
      <alignment/>
      <protection/>
    </xf>
    <xf numFmtId="43" fontId="0" fillId="0" borderId="39" xfId="64" applyFont="1" applyBorder="1" applyAlignment="1">
      <alignment/>
    </xf>
    <xf numFmtId="43" fontId="78" fillId="0" borderId="107" xfId="64" applyFont="1" applyFill="1" applyBorder="1" applyAlignment="1" applyProtection="1">
      <alignment horizontal="center" vertical="center"/>
      <protection/>
    </xf>
    <xf numFmtId="43" fontId="78" fillId="0" borderId="108" xfId="64" applyFont="1" applyFill="1" applyBorder="1" applyAlignment="1" applyProtection="1">
      <alignment horizontal="center" vertical="center"/>
      <protection/>
    </xf>
    <xf numFmtId="43" fontId="2" fillId="0" borderId="109" xfId="64" applyFont="1" applyFill="1" applyBorder="1" applyAlignment="1" applyProtection="1">
      <alignment horizontal="center"/>
      <protection/>
    </xf>
    <xf numFmtId="43" fontId="17" fillId="10" borderId="61" xfId="64" applyFont="1" applyFill="1" applyBorder="1" applyAlignment="1" applyProtection="1">
      <alignment horizontal="center"/>
      <protection locked="0"/>
    </xf>
    <xf numFmtId="43" fontId="78" fillId="0" borderId="77" xfId="64" applyFont="1" applyFill="1" applyBorder="1" applyAlignment="1" applyProtection="1">
      <alignment horizontal="center" vertical="center"/>
      <protection/>
    </xf>
    <xf numFmtId="43" fontId="78" fillId="0" borderId="110" xfId="64" applyFont="1" applyFill="1" applyBorder="1" applyAlignment="1" applyProtection="1">
      <alignment horizontal="center" vertical="center"/>
      <protection/>
    </xf>
    <xf numFmtId="43" fontId="78" fillId="0" borderId="79" xfId="64" applyFont="1" applyFill="1" applyBorder="1" applyAlignment="1" applyProtection="1">
      <alignment horizontal="center" vertical="center"/>
      <protection/>
    </xf>
    <xf numFmtId="43" fontId="2" fillId="0" borderId="111" xfId="64" applyFont="1" applyFill="1" applyBorder="1" applyAlignment="1" applyProtection="1">
      <alignment horizontal="center"/>
      <protection/>
    </xf>
    <xf numFmtId="43" fontId="17" fillId="10" borderId="77" xfId="64" applyFont="1" applyFill="1" applyBorder="1" applyAlignment="1" applyProtection="1">
      <alignment horizontal="center"/>
      <protection locked="0"/>
    </xf>
    <xf numFmtId="43" fontId="2" fillId="12" borderId="112" xfId="64" applyFont="1" applyFill="1" applyBorder="1" applyAlignment="1" applyProtection="1">
      <alignment vertical="center" wrapText="1"/>
      <protection locked="0"/>
    </xf>
    <xf numFmtId="43" fontId="2" fillId="30" borderId="12" xfId="64" applyFont="1" applyFill="1" applyBorder="1" applyAlignment="1" applyProtection="1">
      <alignment horizontal="center"/>
      <protection/>
    </xf>
    <xf numFmtId="43" fontId="2" fillId="28" borderId="12" xfId="64" applyFont="1" applyFill="1" applyBorder="1" applyAlignment="1" applyProtection="1">
      <alignment vertical="center"/>
      <protection locked="0"/>
    </xf>
    <xf numFmtId="43" fontId="2" fillId="12" borderId="110" xfId="64" applyFont="1" applyFill="1" applyBorder="1" applyAlignment="1" applyProtection="1">
      <alignment vertical="center" wrapText="1"/>
      <protection locked="0"/>
    </xf>
    <xf numFmtId="43" fontId="2" fillId="0" borderId="12" xfId="64" applyFont="1" applyFill="1" applyBorder="1" applyAlignment="1" applyProtection="1">
      <alignment horizontal="center"/>
      <protection/>
    </xf>
    <xf numFmtId="43" fontId="2" fillId="12" borderId="12" xfId="64" applyFont="1" applyFill="1" applyBorder="1" applyAlignment="1" applyProtection="1">
      <alignment horizontal="right" vertical="center"/>
      <protection locked="0"/>
    </xf>
    <xf numFmtId="43" fontId="2" fillId="12" borderId="12" xfId="64" applyFont="1" applyFill="1" applyBorder="1" applyAlignment="1" applyProtection="1">
      <alignment horizontal="right" vertical="center"/>
      <protection locked="0"/>
    </xf>
    <xf numFmtId="43" fontId="2" fillId="0" borderId="51" xfId="64" applyFont="1" applyFill="1" applyBorder="1" applyAlignment="1" applyProtection="1">
      <alignment horizontal="center"/>
      <protection/>
    </xf>
    <xf numFmtId="43" fontId="2" fillId="12" borderId="51" xfId="64" applyFont="1" applyFill="1" applyBorder="1" applyAlignment="1" applyProtection="1">
      <alignment horizontal="right" vertical="center"/>
      <protection locked="0"/>
    </xf>
    <xf numFmtId="43" fontId="2" fillId="0" borderId="78" xfId="64" applyFont="1" applyFill="1" applyBorder="1" applyAlignment="1" applyProtection="1">
      <alignment/>
      <protection/>
    </xf>
    <xf numFmtId="43" fontId="2" fillId="0" borderId="12" xfId="64" applyFont="1" applyFill="1" applyBorder="1" applyAlignment="1" applyProtection="1">
      <alignment vertical="center"/>
      <protection/>
    </xf>
    <xf numFmtId="43" fontId="2" fillId="0" borderId="55" xfId="64" applyFont="1" applyFill="1" applyBorder="1" applyAlignment="1" applyProtection="1">
      <alignment/>
      <protection/>
    </xf>
    <xf numFmtId="43" fontId="2" fillId="30" borderId="12" xfId="64" applyFont="1" applyFill="1" applyBorder="1" applyAlignment="1" applyProtection="1">
      <alignment/>
      <protection/>
    </xf>
    <xf numFmtId="43" fontId="2" fillId="0" borderId="113" xfId="64" applyFont="1" applyFill="1" applyBorder="1" applyAlignment="1" applyProtection="1">
      <alignment/>
      <protection/>
    </xf>
    <xf numFmtId="43" fontId="2" fillId="0" borderId="51" xfId="64" applyFont="1" applyFill="1" applyBorder="1" applyAlignment="1" applyProtection="1">
      <alignment vertical="center"/>
      <protection/>
    </xf>
    <xf numFmtId="0" fontId="139" fillId="0" borderId="0" xfId="0" applyFont="1" applyAlignment="1" applyProtection="1">
      <alignment/>
      <protection/>
    </xf>
    <xf numFmtId="43" fontId="139" fillId="0" borderId="0" xfId="64" applyFont="1" applyAlignment="1" applyProtection="1">
      <alignment horizontal="center"/>
      <protection/>
    </xf>
    <xf numFmtId="43" fontId="139" fillId="0" borderId="0" xfId="64" applyFont="1" applyFill="1" applyAlignment="1">
      <alignment horizontal="center"/>
    </xf>
    <xf numFmtId="15" fontId="1" fillId="0" borderId="12" xfId="64" applyNumberFormat="1" applyFont="1" applyFill="1" applyBorder="1" applyAlignment="1" applyProtection="1">
      <alignment horizontal="left"/>
      <protection locked="0"/>
    </xf>
    <xf numFmtId="17" fontId="1" fillId="8" borderId="12" xfId="64" applyNumberFormat="1" applyFont="1" applyFill="1" applyBorder="1" applyAlignment="1" applyProtection="1">
      <alignment horizontal="left"/>
      <protection locked="0"/>
    </xf>
    <xf numFmtId="183" fontId="24" fillId="13" borderId="12" xfId="64" applyNumberFormat="1" applyFont="1" applyFill="1" applyBorder="1" applyAlignment="1" applyProtection="1">
      <alignment horizontal="center"/>
      <protection locked="0"/>
    </xf>
    <xf numFmtId="183" fontId="24" fillId="13" borderId="102" xfId="64" applyNumberFormat="1" applyFont="1" applyFill="1" applyBorder="1" applyAlignment="1" applyProtection="1">
      <alignment horizontal="center"/>
      <protection locked="0"/>
    </xf>
    <xf numFmtId="183" fontId="24" fillId="2" borderId="104" xfId="64" applyNumberFormat="1" applyFont="1" applyFill="1" applyBorder="1" applyAlignment="1" applyProtection="1">
      <alignment horizontal="center"/>
      <protection/>
    </xf>
    <xf numFmtId="183" fontId="24" fillId="2" borderId="103" xfId="64" applyNumberFormat="1" applyFont="1" applyFill="1" applyBorder="1" applyAlignment="1" applyProtection="1">
      <alignment horizontal="center"/>
      <protection/>
    </xf>
    <xf numFmtId="43" fontId="0" fillId="0" borderId="12" xfId="64" applyFont="1" applyBorder="1" applyAlignment="1" applyProtection="1">
      <alignment horizontal="center"/>
      <protection locked="0"/>
    </xf>
    <xf numFmtId="183" fontId="2" fillId="28" borderId="12" xfId="64" applyNumberFormat="1" applyFont="1" applyFill="1" applyBorder="1" applyAlignment="1" applyProtection="1">
      <alignment vertical="center"/>
      <protection locked="0"/>
    </xf>
    <xf numFmtId="183" fontId="2" fillId="12" borderId="12" xfId="64" applyNumberFormat="1" applyFont="1" applyFill="1" applyBorder="1" applyAlignment="1" applyProtection="1">
      <alignment horizontal="right" vertical="center"/>
      <protection locked="0"/>
    </xf>
    <xf numFmtId="183" fontId="2" fillId="12" borderId="12" xfId="64" applyNumberFormat="1" applyFont="1" applyFill="1" applyBorder="1" applyAlignment="1" applyProtection="1">
      <alignment horizontal="right" vertical="center"/>
      <protection locked="0"/>
    </xf>
    <xf numFmtId="43" fontId="0" fillId="0" borderId="0" xfId="64" applyFont="1" applyAlignment="1" applyProtection="1">
      <alignment/>
      <protection/>
    </xf>
    <xf numFmtId="43" fontId="0" fillId="0" borderId="0" xfId="64" applyFont="1" applyBorder="1" applyAlignment="1" applyProtection="1">
      <alignment/>
      <protection/>
    </xf>
    <xf numFmtId="183" fontId="115" fillId="31" borderId="12" xfId="0" applyNumberFormat="1" applyFont="1" applyFill="1" applyBorder="1" applyAlignment="1" applyProtection="1">
      <alignment horizontal="center" vertical="center"/>
      <protection locked="0"/>
    </xf>
    <xf numFmtId="43" fontId="2" fillId="32" borderId="12" xfId="64" applyFont="1" applyFill="1" applyBorder="1" applyAlignment="1" applyProtection="1">
      <alignment vertical="center"/>
      <protection locked="0"/>
    </xf>
    <xf numFmtId="43" fontId="2" fillId="31" borderId="12" xfId="64" applyFont="1" applyFill="1" applyBorder="1" applyAlignment="1" applyProtection="1">
      <alignment horizontal="right" vertical="center"/>
      <protection locked="0"/>
    </xf>
    <xf numFmtId="183" fontId="2" fillId="31" borderId="12" xfId="64" applyNumberFormat="1" applyFont="1" applyFill="1" applyBorder="1" applyAlignment="1" applyProtection="1">
      <alignment horizontal="right" vertical="center"/>
      <protection locked="0"/>
    </xf>
    <xf numFmtId="3" fontId="2" fillId="28" borderId="55" xfId="0" applyNumberFormat="1" applyFont="1" applyFill="1" applyBorder="1" applyAlignment="1" applyProtection="1">
      <alignment vertical="center"/>
      <protection locked="0"/>
    </xf>
    <xf numFmtId="3" fontId="2" fillId="12" borderId="55" xfId="0" applyNumberFormat="1" applyFont="1" applyFill="1" applyBorder="1" applyAlignment="1" applyProtection="1">
      <alignment vertical="center"/>
      <protection locked="0"/>
    </xf>
    <xf numFmtId="3" fontId="2" fillId="12" borderId="55" xfId="0" applyNumberFormat="1" applyFont="1" applyFill="1" applyBorder="1" applyAlignment="1" applyProtection="1">
      <alignment horizontal="right" vertical="center"/>
      <protection locked="0"/>
    </xf>
    <xf numFmtId="183" fontId="115" fillId="31" borderId="12" xfId="0" applyNumberFormat="1" applyFont="1" applyFill="1" applyBorder="1" applyAlignment="1" applyProtection="1">
      <alignment horizontal="center" vertical="center" wrapText="1"/>
      <protection locked="0"/>
    </xf>
    <xf numFmtId="183" fontId="2" fillId="32" borderId="12" xfId="64" applyNumberFormat="1" applyFont="1" applyFill="1" applyBorder="1" applyAlignment="1" applyProtection="1">
      <alignment vertical="center"/>
      <protection locked="0"/>
    </xf>
    <xf numFmtId="183" fontId="0" fillId="31" borderId="12" xfId="64" applyNumberFormat="1" applyFont="1" applyFill="1" applyBorder="1" applyAlignment="1">
      <alignment/>
    </xf>
    <xf numFmtId="183" fontId="115" fillId="31" borderId="55" xfId="0" applyNumberFormat="1" applyFont="1" applyFill="1" applyBorder="1" applyAlignment="1" applyProtection="1">
      <alignment horizontal="center" vertical="center" wrapText="1"/>
      <protection locked="0"/>
    </xf>
    <xf numFmtId="183" fontId="0" fillId="31" borderId="0" xfId="64" applyNumberFormat="1" applyFont="1" applyFill="1" applyAlignment="1">
      <alignment/>
    </xf>
    <xf numFmtId="183" fontId="2" fillId="32" borderId="12" xfId="64" applyNumberFormat="1" applyFont="1" applyFill="1" applyBorder="1" applyAlignment="1" applyProtection="1">
      <alignment vertical="center"/>
      <protection locked="0"/>
    </xf>
    <xf numFmtId="43" fontId="2" fillId="0" borderId="12" xfId="64" applyFont="1" applyFill="1" applyBorder="1" applyAlignment="1" applyProtection="1">
      <alignment horizontal="right" vertical="center"/>
      <protection/>
    </xf>
    <xf numFmtId="3" fontId="0" fillId="0" borderId="0" xfId="0" applyNumberFormat="1" applyAlignment="1">
      <alignment/>
    </xf>
    <xf numFmtId="3" fontId="18" fillId="2" borderId="0" xfId="0" applyNumberFormat="1" applyFont="1" applyFill="1" applyAlignment="1">
      <alignment/>
    </xf>
    <xf numFmtId="3" fontId="24" fillId="2" borderId="0" xfId="0" applyNumberFormat="1" applyFont="1" applyFill="1" applyAlignment="1">
      <alignment/>
    </xf>
    <xf numFmtId="3" fontId="42" fillId="0" borderId="0" xfId="133" applyNumberFormat="1" applyFont="1" applyFill="1" applyBorder="1" applyAlignment="1" applyProtection="1">
      <alignment horizontal="center" vertical="center"/>
      <protection locked="0"/>
    </xf>
    <xf numFmtId="3" fontId="0" fillId="0" borderId="0" xfId="0" applyNumberFormat="1" applyBorder="1" applyAlignment="1">
      <alignment/>
    </xf>
    <xf numFmtId="3" fontId="0" fillId="0" borderId="0" xfId="0" applyNumberFormat="1" applyFill="1" applyBorder="1" applyAlignment="1">
      <alignment/>
    </xf>
    <xf numFmtId="3" fontId="0" fillId="12" borderId="114" xfId="0" applyNumberFormat="1" applyFill="1" applyBorder="1" applyAlignment="1">
      <alignment/>
    </xf>
    <xf numFmtId="3" fontId="0" fillId="0" borderId="0" xfId="64" applyNumberFormat="1" applyFont="1" applyAlignment="1" applyProtection="1">
      <alignment horizontal="right"/>
      <protection/>
    </xf>
    <xf numFmtId="3" fontId="17" fillId="10" borderId="77" xfId="0" applyNumberFormat="1" applyFont="1" applyFill="1" applyBorder="1" applyAlignment="1" applyProtection="1">
      <alignment horizontal="center"/>
      <protection locked="0"/>
    </xf>
    <xf numFmtId="3" fontId="2" fillId="28" borderId="12" xfId="64" applyNumberFormat="1" applyFont="1" applyFill="1" applyBorder="1" applyAlignment="1" applyProtection="1">
      <alignment vertical="center"/>
      <protection locked="0"/>
    </xf>
    <xf numFmtId="3" fontId="2" fillId="12" borderId="12" xfId="64" applyNumberFormat="1" applyFont="1" applyFill="1" applyBorder="1" applyAlignment="1" applyProtection="1">
      <alignment horizontal="right" vertical="center" wrapText="1"/>
      <protection locked="0"/>
    </xf>
    <xf numFmtId="3" fontId="2" fillId="12" borderId="12" xfId="64" applyNumberFormat="1" applyFont="1" applyFill="1" applyBorder="1" applyAlignment="1" applyProtection="1">
      <alignment horizontal="right" vertical="center"/>
      <protection locked="0"/>
    </xf>
    <xf numFmtId="3" fontId="17" fillId="10" borderId="61" xfId="0" applyNumberFormat="1" applyFont="1" applyFill="1" applyBorder="1" applyAlignment="1" applyProtection="1">
      <alignment horizontal="center"/>
      <protection locked="0"/>
    </xf>
    <xf numFmtId="3" fontId="0" fillId="0" borderId="0" xfId="0" applyNumberFormat="1" applyFill="1" applyAlignment="1">
      <alignment/>
    </xf>
    <xf numFmtId="3" fontId="42" fillId="0" borderId="0" xfId="133" applyNumberFormat="1" applyFont="1" applyFill="1" applyBorder="1" applyAlignment="1" applyProtection="1">
      <alignment vertical="center"/>
      <protection locked="0"/>
    </xf>
    <xf numFmtId="3" fontId="17" fillId="10" borderId="115" xfId="0" applyNumberFormat="1" applyFont="1" applyFill="1" applyBorder="1" applyAlignment="1" applyProtection="1">
      <alignment horizontal="center"/>
      <protection locked="0"/>
    </xf>
    <xf numFmtId="3" fontId="17" fillId="10" borderId="116" xfId="0" applyNumberFormat="1" applyFont="1" applyFill="1" applyBorder="1" applyAlignment="1" applyProtection="1">
      <alignment horizontal="center"/>
      <protection locked="0"/>
    </xf>
    <xf numFmtId="43" fontId="0" fillId="33" borderId="12" xfId="64" applyFont="1" applyFill="1" applyBorder="1" applyAlignment="1">
      <alignment/>
    </xf>
    <xf numFmtId="183" fontId="0" fillId="33" borderId="12" xfId="64" applyNumberFormat="1" applyFont="1" applyFill="1" applyBorder="1" applyAlignment="1">
      <alignment/>
    </xf>
    <xf numFmtId="183" fontId="2" fillId="34" borderId="12" xfId="64" applyNumberFormat="1" applyFont="1" applyFill="1" applyBorder="1" applyAlignment="1" applyProtection="1">
      <alignment vertical="center"/>
      <protection locked="0"/>
    </xf>
    <xf numFmtId="183" fontId="2" fillId="34" borderId="12" xfId="64" applyNumberFormat="1" applyFont="1" applyFill="1" applyBorder="1" applyAlignment="1" applyProtection="1">
      <alignment vertical="center"/>
      <protection locked="0"/>
    </xf>
    <xf numFmtId="43" fontId="2" fillId="34" borderId="12" xfId="64" applyFont="1" applyFill="1" applyBorder="1" applyAlignment="1" applyProtection="1">
      <alignment vertical="center"/>
      <protection locked="0"/>
    </xf>
    <xf numFmtId="3" fontId="2" fillId="34" borderId="12" xfId="64" applyNumberFormat="1" applyFont="1" applyFill="1" applyBorder="1" applyAlignment="1" applyProtection="1">
      <alignment vertical="center"/>
      <protection locked="0"/>
    </xf>
    <xf numFmtId="3" fontId="2" fillId="34" borderId="12" xfId="0" applyNumberFormat="1" applyFont="1" applyFill="1" applyBorder="1" applyAlignment="1" applyProtection="1">
      <alignment vertical="center"/>
      <protection locked="0"/>
    </xf>
    <xf numFmtId="183" fontId="115" fillId="33" borderId="12" xfId="0" applyNumberFormat="1" applyFont="1" applyFill="1" applyBorder="1" applyAlignment="1" applyProtection="1">
      <alignment horizontal="center" vertical="center"/>
      <protection locked="0"/>
    </xf>
    <xf numFmtId="183" fontId="2" fillId="31" borderId="12" xfId="64" applyNumberFormat="1" applyFont="1" applyFill="1" applyBorder="1" applyAlignment="1" applyProtection="1">
      <alignment horizontal="right" vertical="center" wrapText="1"/>
      <protection locked="0"/>
    </xf>
    <xf numFmtId="43" fontId="0" fillId="0" borderId="12" xfId="64" applyFont="1" applyBorder="1" applyAlignment="1" applyProtection="1">
      <alignment horizontal="left"/>
      <protection locked="0"/>
    </xf>
    <xf numFmtId="43" fontId="0" fillId="0" borderId="0" xfId="64" applyFont="1" applyAlignment="1" applyProtection="1">
      <alignment horizontal="right"/>
      <protection/>
    </xf>
    <xf numFmtId="49" fontId="29" fillId="0" borderId="117" xfId="0" applyNumberFormat="1" applyFont="1" applyFill="1" applyBorder="1" applyAlignment="1" applyProtection="1">
      <alignment wrapText="1"/>
      <protection locked="0"/>
    </xf>
    <xf numFmtId="3" fontId="0" fillId="0" borderId="0" xfId="64" applyNumberFormat="1" applyFont="1" applyAlignment="1" applyProtection="1">
      <alignment horizontal="right"/>
      <protection/>
    </xf>
    <xf numFmtId="43" fontId="2" fillId="35" borderId="112" xfId="64" applyFont="1" applyFill="1" applyBorder="1" applyAlignment="1" applyProtection="1">
      <alignment vertical="center" wrapText="1"/>
      <protection locked="0"/>
    </xf>
    <xf numFmtId="43" fontId="2" fillId="35" borderId="110" xfId="64" applyFont="1" applyFill="1" applyBorder="1" applyAlignment="1" applyProtection="1">
      <alignment vertical="center" wrapText="1"/>
      <protection locked="0"/>
    </xf>
    <xf numFmtId="43" fontId="92" fillId="0" borderId="0" xfId="64" applyFont="1" applyFill="1" applyBorder="1" applyAlignment="1" applyProtection="1">
      <alignment horizontal="center" wrapText="1"/>
      <protection/>
    </xf>
    <xf numFmtId="9" fontId="92" fillId="0" borderId="0" xfId="110" applyFont="1" applyFill="1" applyBorder="1" applyAlignment="1" applyProtection="1">
      <alignment horizontal="center"/>
      <protection/>
    </xf>
    <xf numFmtId="43" fontId="9" fillId="0" borderId="0" xfId="64" applyFont="1" applyFill="1" applyBorder="1" applyAlignment="1" applyProtection="1">
      <alignment horizontal="center" vertical="center" wrapText="1"/>
      <protection/>
    </xf>
    <xf numFmtId="9" fontId="0" fillId="0" borderId="0" xfId="110" applyFont="1" applyFill="1" applyBorder="1" applyAlignment="1" applyProtection="1">
      <alignment/>
      <protection locked="0"/>
    </xf>
    <xf numFmtId="9" fontId="0" fillId="0" borderId="0" xfId="0" applyNumberFormat="1" applyAlignment="1">
      <alignment/>
    </xf>
    <xf numFmtId="43" fontId="20" fillId="36" borderId="0" xfId="90" applyFont="1" applyFill="1" applyBorder="1" applyAlignment="1">
      <alignment horizontal="center" vertical="center"/>
      <protection/>
    </xf>
    <xf numFmtId="43" fontId="37" fillId="0" borderId="0" xfId="0" applyNumberFormat="1" applyFont="1" applyAlignment="1">
      <alignment horizontal="center"/>
    </xf>
    <xf numFmtId="0" fontId="0" fillId="0" borderId="0" xfId="0" applyAlignment="1">
      <alignment/>
    </xf>
    <xf numFmtId="0" fontId="106" fillId="0" borderId="0" xfId="0" applyFont="1" applyAlignment="1">
      <alignment horizontal="center"/>
    </xf>
    <xf numFmtId="0" fontId="107" fillId="0" borderId="0" xfId="0" applyFont="1" applyAlignment="1">
      <alignment horizontal="center"/>
    </xf>
    <xf numFmtId="0" fontId="81" fillId="0" borderId="55" xfId="0" applyFont="1" applyBorder="1" applyAlignment="1">
      <alignment horizontal="left" vertical="center" wrapText="1"/>
    </xf>
    <xf numFmtId="0" fontId="81" fillId="0" borderId="80" xfId="0" applyFont="1" applyBorder="1" applyAlignment="1">
      <alignment horizontal="left" vertical="center" wrapText="1"/>
    </xf>
    <xf numFmtId="0" fontId="81" fillId="0" borderId="81" xfId="0" applyFont="1" applyBorder="1" applyAlignment="1">
      <alignment horizontal="left" vertical="center" wrapText="1"/>
    </xf>
    <xf numFmtId="43" fontId="82" fillId="0" borderId="55" xfId="0" applyNumberFormat="1" applyFont="1" applyBorder="1" applyAlignment="1">
      <alignment horizontal="left" vertical="center" wrapText="1"/>
    </xf>
    <xf numFmtId="0" fontId="82" fillId="0" borderId="80" xfId="0" applyFont="1" applyBorder="1" applyAlignment="1">
      <alignment horizontal="left" vertical="center"/>
    </xf>
    <xf numFmtId="0" fontId="82" fillId="0" borderId="81" xfId="0" applyFont="1" applyBorder="1" applyAlignment="1">
      <alignment horizontal="left" vertical="center"/>
    </xf>
    <xf numFmtId="0" fontId="82" fillId="0" borderId="55" xfId="0" applyFont="1" applyBorder="1" applyAlignment="1">
      <alignment horizontal="left" vertical="center" wrapText="1"/>
    </xf>
    <xf numFmtId="0" fontId="82" fillId="0" borderId="80" xfId="0" applyFont="1" applyBorder="1" applyAlignment="1">
      <alignment horizontal="left" vertical="center" wrapText="1"/>
    </xf>
    <xf numFmtId="0" fontId="82" fillId="0" borderId="81" xfId="0" applyFont="1" applyBorder="1" applyAlignment="1">
      <alignment horizontal="left" vertical="center" wrapText="1"/>
    </xf>
    <xf numFmtId="43" fontId="82" fillId="0" borderId="118" xfId="0" applyNumberFormat="1" applyFont="1" applyBorder="1" applyAlignment="1">
      <alignment horizontal="left" vertical="center" wrapText="1"/>
    </xf>
    <xf numFmtId="0" fontId="82" fillId="0" borderId="119" xfId="0" applyFont="1" applyBorder="1" applyAlignment="1">
      <alignment horizontal="left" vertical="center" wrapText="1"/>
    </xf>
    <xf numFmtId="0" fontId="82" fillId="0" borderId="120" xfId="0" applyFont="1" applyBorder="1" applyAlignment="1">
      <alignment horizontal="left" vertical="center" wrapText="1"/>
    </xf>
    <xf numFmtId="0" fontId="82" fillId="0" borderId="119" xfId="0" applyFont="1" applyBorder="1" applyAlignment="1">
      <alignment horizontal="left" vertical="center"/>
    </xf>
    <xf numFmtId="0" fontId="82" fillId="0" borderId="120" xfId="0" applyFont="1" applyBorder="1" applyAlignment="1">
      <alignment horizontal="left" vertical="center"/>
    </xf>
    <xf numFmtId="0" fontId="82" fillId="0" borderId="118" xfId="0" applyFont="1" applyBorder="1" applyAlignment="1">
      <alignment horizontal="left" vertical="center" wrapText="1"/>
    </xf>
    <xf numFmtId="0" fontId="31" fillId="0" borderId="111" xfId="0" applyFont="1" applyBorder="1" applyAlignment="1">
      <alignment horizontal="left"/>
    </xf>
    <xf numFmtId="0" fontId="66" fillId="0" borderId="0" xfId="0" applyFont="1" applyBorder="1" applyAlignment="1">
      <alignment horizontal="left" wrapText="1"/>
    </xf>
    <xf numFmtId="0" fontId="31" fillId="0" borderId="0" xfId="0" applyFont="1" applyBorder="1" applyAlignment="1">
      <alignment horizontal="left"/>
    </xf>
    <xf numFmtId="0" fontId="81" fillId="0" borderId="118" xfId="0" applyFont="1" applyBorder="1" applyAlignment="1">
      <alignment horizontal="left" vertical="center" wrapText="1"/>
    </xf>
    <xf numFmtId="0" fontId="81" fillId="0" borderId="119" xfId="0" applyFont="1" applyBorder="1" applyAlignment="1">
      <alignment horizontal="left" vertical="center" wrapText="1"/>
    </xf>
    <xf numFmtId="0" fontId="81" fillId="0" borderId="120" xfId="0" applyFont="1" applyBorder="1" applyAlignment="1">
      <alignment horizontal="left" vertical="center" wrapText="1"/>
    </xf>
    <xf numFmtId="0" fontId="82" fillId="0" borderId="78" xfId="0" applyNumberFormat="1" applyFont="1" applyBorder="1" applyAlignment="1">
      <alignment horizontal="left" vertical="center" wrapText="1"/>
    </xf>
    <xf numFmtId="0" fontId="81" fillId="0" borderId="77" xfId="0" applyNumberFormat="1" applyFont="1" applyBorder="1" applyAlignment="1">
      <alignment horizontal="left" vertical="center" wrapText="1"/>
    </xf>
    <xf numFmtId="0" fontId="81" fillId="0" borderId="79" xfId="0" applyNumberFormat="1" applyFont="1" applyBorder="1" applyAlignment="1">
      <alignment horizontal="left" vertical="center" wrapText="1"/>
    </xf>
    <xf numFmtId="0" fontId="31" fillId="0" borderId="111" xfId="0" applyFont="1" applyBorder="1" applyAlignment="1">
      <alignment horizontal="left" wrapText="1"/>
    </xf>
    <xf numFmtId="43" fontId="20" fillId="26" borderId="0" xfId="98" applyFont="1" applyFill="1" applyAlignment="1" applyProtection="1">
      <alignment horizontal="center" vertical="center"/>
      <protection/>
    </xf>
    <xf numFmtId="0" fontId="87" fillId="0" borderId="0" xfId="0" applyFont="1" applyAlignment="1">
      <alignment horizontal="center"/>
    </xf>
    <xf numFmtId="0" fontId="66" fillId="3" borderId="55" xfId="0" applyFont="1" applyFill="1" applyBorder="1" applyAlignment="1">
      <alignment horizontal="center"/>
    </xf>
    <xf numFmtId="0" fontId="66" fillId="3" borderId="80" xfId="0" applyFont="1" applyFill="1" applyBorder="1" applyAlignment="1">
      <alignment horizontal="center"/>
    </xf>
    <xf numFmtId="0" fontId="66" fillId="3" borderId="81" xfId="0" applyFont="1" applyFill="1" applyBorder="1" applyAlignment="1">
      <alignment horizontal="center"/>
    </xf>
    <xf numFmtId="9" fontId="82" fillId="0" borderId="55" xfId="110" applyFont="1" applyBorder="1" applyAlignment="1">
      <alignment horizontal="left" vertical="center" wrapText="1"/>
    </xf>
    <xf numFmtId="9" fontId="82" fillId="0" borderId="80" xfId="110" applyFont="1" applyBorder="1" applyAlignment="1">
      <alignment horizontal="left" vertical="center" wrapText="1"/>
    </xf>
    <xf numFmtId="9" fontId="82" fillId="0" borderId="81" xfId="110" applyFont="1" applyBorder="1" applyAlignment="1">
      <alignment horizontal="left" vertical="center" wrapText="1"/>
    </xf>
    <xf numFmtId="0" fontId="82" fillId="0" borderId="111" xfId="0" applyFont="1" applyBorder="1" applyAlignment="1">
      <alignment horizontal="left" wrapText="1"/>
    </xf>
    <xf numFmtId="0" fontId="81" fillId="0" borderId="111" xfId="0" applyFont="1" applyBorder="1" applyAlignment="1">
      <alignment horizontal="left" wrapText="1"/>
    </xf>
    <xf numFmtId="0" fontId="31" fillId="0" borderId="0" xfId="0" applyFont="1" applyBorder="1" applyAlignment="1">
      <alignment horizontal="left" wrapText="1"/>
    </xf>
    <xf numFmtId="0" fontId="82" fillId="13" borderId="55" xfId="0" applyFont="1" applyFill="1" applyBorder="1" applyAlignment="1">
      <alignment horizontal="center"/>
    </xf>
    <xf numFmtId="0" fontId="82" fillId="13" borderId="80" xfId="0" applyFont="1" applyFill="1" applyBorder="1" applyAlignment="1">
      <alignment horizontal="center"/>
    </xf>
    <xf numFmtId="0" fontId="82" fillId="13" borderId="81" xfId="0" applyFont="1" applyFill="1" applyBorder="1" applyAlignment="1">
      <alignment horizontal="center"/>
    </xf>
    <xf numFmtId="0" fontId="31" fillId="0" borderId="55"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81" xfId="0" applyFont="1" applyBorder="1" applyAlignment="1">
      <alignment horizontal="center" vertical="center" wrapText="1"/>
    </xf>
    <xf numFmtId="0" fontId="36" fillId="12" borderId="55" xfId="0" applyFont="1" applyFill="1" applyBorder="1" applyAlignment="1">
      <alignment horizontal="center" vertical="center" wrapText="1"/>
    </xf>
    <xf numFmtId="0" fontId="36" fillId="12" borderId="80" xfId="0" applyFont="1" applyFill="1" applyBorder="1" applyAlignment="1">
      <alignment horizontal="center" vertical="center"/>
    </xf>
    <xf numFmtId="0" fontId="36" fillId="12" borderId="81" xfId="0" applyFont="1" applyFill="1" applyBorder="1" applyAlignment="1">
      <alignment horizontal="center" vertical="center"/>
    </xf>
    <xf numFmtId="0" fontId="36" fillId="12" borderId="55" xfId="0" applyFont="1" applyFill="1" applyBorder="1" applyAlignment="1">
      <alignment horizontal="center" vertical="center"/>
    </xf>
    <xf numFmtId="0" fontId="36" fillId="0" borderId="55" xfId="0" applyFont="1" applyBorder="1" applyAlignment="1">
      <alignment horizontal="center" vertical="center" wrapText="1"/>
    </xf>
    <xf numFmtId="0" fontId="36"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36" fillId="12" borderId="55" xfId="0" applyFont="1" applyFill="1" applyBorder="1" applyAlignment="1">
      <alignment horizontal="center"/>
    </xf>
    <xf numFmtId="0" fontId="36" fillId="12" borderId="80" xfId="0" applyFont="1" applyFill="1" applyBorder="1" applyAlignment="1">
      <alignment horizontal="center"/>
    </xf>
    <xf numFmtId="0" fontId="36" fillId="12" borderId="81" xfId="0" applyFont="1" applyFill="1" applyBorder="1" applyAlignment="1">
      <alignment horizontal="center"/>
    </xf>
    <xf numFmtId="0" fontId="81" fillId="0" borderId="55" xfId="0" applyFont="1" applyBorder="1" applyAlignment="1" applyProtection="1">
      <alignment horizontal="left" vertical="center" wrapText="1"/>
      <protection locked="0"/>
    </xf>
    <xf numFmtId="0" fontId="81" fillId="0" borderId="80" xfId="0" applyFont="1" applyBorder="1" applyAlignment="1" applyProtection="1">
      <alignment horizontal="left" vertical="center" wrapText="1"/>
      <protection locked="0"/>
    </xf>
    <xf numFmtId="0" fontId="81" fillId="0" borderId="81" xfId="0" applyFont="1" applyBorder="1" applyAlignment="1" applyProtection="1">
      <alignment horizontal="left" vertical="center" wrapText="1"/>
      <protection locked="0"/>
    </xf>
    <xf numFmtId="0" fontId="2" fillId="0" borderId="55" xfId="0" applyFont="1" applyBorder="1" applyAlignment="1">
      <alignment horizontal="left" vertical="center" wrapText="1"/>
    </xf>
    <xf numFmtId="0" fontId="2" fillId="0" borderId="80" xfId="0" applyFont="1" applyBorder="1" applyAlignment="1">
      <alignment horizontal="left" vertical="center" wrapText="1"/>
    </xf>
    <xf numFmtId="0" fontId="2" fillId="0" borderId="81" xfId="0" applyFont="1" applyBorder="1" applyAlignment="1">
      <alignment horizontal="left" vertical="center" wrapText="1"/>
    </xf>
    <xf numFmtId="0" fontId="110" fillId="0" borderId="80" xfId="0" applyFont="1" applyBorder="1" applyAlignment="1">
      <alignment horizontal="left" vertical="center" wrapText="1"/>
    </xf>
    <xf numFmtId="0" fontId="110" fillId="0" borderId="81" xfId="0" applyFont="1" applyBorder="1" applyAlignment="1">
      <alignment horizontal="left" vertical="center" wrapText="1"/>
    </xf>
    <xf numFmtId="0" fontId="81" fillId="0" borderId="78" xfId="0" applyFont="1" applyBorder="1" applyAlignment="1">
      <alignment horizontal="left" vertical="center" wrapText="1"/>
    </xf>
    <xf numFmtId="0" fontId="81" fillId="0" borderId="77" xfId="0" applyFont="1" applyBorder="1" applyAlignment="1">
      <alignment horizontal="left" vertical="center" wrapText="1"/>
    </xf>
    <xf numFmtId="0" fontId="81" fillId="0" borderId="79" xfId="0" applyFont="1" applyBorder="1" applyAlignment="1">
      <alignment horizontal="left" vertical="center" wrapText="1"/>
    </xf>
    <xf numFmtId="0" fontId="81" fillId="0" borderId="118" xfId="0" applyFont="1" applyBorder="1" applyAlignment="1">
      <alignment horizontal="left" wrapText="1"/>
    </xf>
    <xf numFmtId="0" fontId="81" fillId="0" borderId="119" xfId="0" applyFont="1" applyBorder="1" applyAlignment="1">
      <alignment horizontal="left" wrapText="1"/>
    </xf>
    <xf numFmtId="0" fontId="81" fillId="0" borderId="120" xfId="0" applyFont="1" applyBorder="1" applyAlignment="1">
      <alignment horizontal="left" wrapText="1"/>
    </xf>
    <xf numFmtId="0" fontId="82" fillId="0" borderId="78" xfId="0" applyFont="1" applyBorder="1" applyAlignment="1">
      <alignment horizontal="left" vertical="center" wrapText="1"/>
    </xf>
    <xf numFmtId="0" fontId="82" fillId="0" borderId="77" xfId="0" applyFont="1" applyBorder="1" applyAlignment="1">
      <alignment horizontal="left" vertical="center" wrapText="1"/>
    </xf>
    <xf numFmtId="0" fontId="82" fillId="0" borderId="79" xfId="0" applyFont="1" applyBorder="1" applyAlignment="1">
      <alignment horizontal="left" vertical="center" wrapText="1"/>
    </xf>
    <xf numFmtId="0" fontId="82" fillId="0" borderId="55" xfId="0" applyFont="1" applyBorder="1" applyAlignment="1" applyProtection="1">
      <alignment vertical="center" wrapText="1"/>
      <protection locked="0"/>
    </xf>
    <xf numFmtId="0" fontId="82" fillId="0" borderId="80" xfId="0" applyFont="1" applyBorder="1" applyAlignment="1" applyProtection="1">
      <alignment vertical="center" wrapText="1"/>
      <protection locked="0"/>
    </xf>
    <xf numFmtId="0" fontId="82" fillId="0" borderId="81" xfId="0" applyFont="1" applyBorder="1" applyAlignment="1" applyProtection="1">
      <alignment vertical="center" wrapText="1"/>
      <protection locked="0"/>
    </xf>
    <xf numFmtId="0" fontId="82" fillId="0" borderId="80" xfId="0" applyFont="1" applyBorder="1" applyAlignment="1" applyProtection="1">
      <alignment horizontal="left" vertical="center" wrapText="1"/>
      <protection locked="0"/>
    </xf>
    <xf numFmtId="0" fontId="82" fillId="0" borderId="81" xfId="0" applyFont="1" applyBorder="1" applyAlignment="1" applyProtection="1">
      <alignment horizontal="left" vertical="center" wrapText="1"/>
      <protection locked="0"/>
    </xf>
    <xf numFmtId="0" fontId="81" fillId="0" borderId="55" xfId="0" applyFont="1" applyBorder="1" applyAlignment="1" applyProtection="1">
      <alignment horizontal="justify" vertical="center" wrapText="1"/>
      <protection locked="0"/>
    </xf>
    <xf numFmtId="0" fontId="82" fillId="0" borderId="80" xfId="0" applyFont="1" applyBorder="1" applyAlignment="1" applyProtection="1">
      <alignment horizontal="justify" vertical="center" wrapText="1"/>
      <protection locked="0"/>
    </xf>
    <xf numFmtId="0" fontId="82" fillId="0" borderId="81" xfId="0" applyFont="1" applyBorder="1" applyAlignment="1" applyProtection="1">
      <alignment horizontal="justify" vertical="center" wrapText="1"/>
      <protection locked="0"/>
    </xf>
    <xf numFmtId="0" fontId="2" fillId="0" borderId="78" xfId="0" applyFont="1" applyBorder="1" applyAlignment="1">
      <alignment horizontal="left" vertical="center" wrapText="1"/>
    </xf>
    <xf numFmtId="0" fontId="2" fillId="0" borderId="77" xfId="0" applyFont="1" applyBorder="1" applyAlignment="1">
      <alignment horizontal="left" vertical="center" wrapText="1"/>
    </xf>
    <xf numFmtId="0" fontId="2" fillId="0" borderId="79" xfId="0" applyFont="1" applyBorder="1" applyAlignment="1">
      <alignment horizontal="left" vertical="center" wrapText="1"/>
    </xf>
    <xf numFmtId="0" fontId="82" fillId="37" borderId="55" xfId="0" applyFont="1" applyFill="1" applyBorder="1" applyAlignment="1" applyProtection="1">
      <alignment vertical="center" wrapText="1"/>
      <protection locked="0"/>
    </xf>
    <xf numFmtId="0" fontId="82" fillId="37" borderId="80" xfId="0" applyFont="1" applyFill="1" applyBorder="1" applyAlignment="1" applyProtection="1">
      <alignment vertical="center" wrapText="1"/>
      <protection locked="0"/>
    </xf>
    <xf numFmtId="0" fontId="82" fillId="37" borderId="81" xfId="0" applyFont="1" applyFill="1" applyBorder="1" applyAlignment="1" applyProtection="1">
      <alignment vertical="center" wrapText="1"/>
      <protection locked="0"/>
    </xf>
    <xf numFmtId="0" fontId="81" fillId="0" borderId="55" xfId="0" applyNumberFormat="1" applyFont="1" applyBorder="1" applyAlignment="1" applyProtection="1">
      <alignment horizontal="left" vertical="center" wrapText="1"/>
      <protection locked="0"/>
    </xf>
    <xf numFmtId="0" fontId="81" fillId="0" borderId="80" xfId="0" applyNumberFormat="1" applyFont="1" applyBorder="1" applyAlignment="1" applyProtection="1">
      <alignment horizontal="left" vertical="center" wrapText="1"/>
      <protection locked="0"/>
    </xf>
    <xf numFmtId="0" fontId="81" fillId="0" borderId="81" xfId="0" applyNumberFormat="1" applyFont="1" applyBorder="1" applyAlignment="1" applyProtection="1">
      <alignment horizontal="left" vertical="center" wrapText="1"/>
      <protection locked="0"/>
    </xf>
    <xf numFmtId="0" fontId="78" fillId="0" borderId="55" xfId="0" applyFont="1" applyFill="1" applyBorder="1" applyAlignment="1" applyProtection="1">
      <alignment vertical="center" wrapText="1"/>
      <protection locked="0"/>
    </xf>
    <xf numFmtId="0" fontId="78" fillId="0" borderId="80" xfId="0" applyFont="1" applyFill="1" applyBorder="1" applyAlignment="1" applyProtection="1">
      <alignment vertical="center" wrapText="1"/>
      <protection locked="0"/>
    </xf>
    <xf numFmtId="0" fontId="78" fillId="0" borderId="81" xfId="0" applyFont="1" applyFill="1" applyBorder="1" applyAlignment="1" applyProtection="1">
      <alignment vertical="center" wrapText="1"/>
      <protection locked="0"/>
    </xf>
    <xf numFmtId="0" fontId="82" fillId="12" borderId="55" xfId="0" applyFont="1" applyFill="1" applyBorder="1" applyAlignment="1">
      <alignment vertical="center" wrapText="1"/>
    </xf>
    <xf numFmtId="0" fontId="82" fillId="12" borderId="80" xfId="0" applyFont="1" applyFill="1" applyBorder="1" applyAlignment="1">
      <alignment vertical="center" wrapText="1"/>
    </xf>
    <xf numFmtId="0" fontId="82" fillId="12" borderId="81" xfId="0" applyFont="1" applyFill="1" applyBorder="1" applyAlignment="1">
      <alignment vertical="center" wrapText="1"/>
    </xf>
    <xf numFmtId="43" fontId="37" fillId="0" borderId="121" xfId="110" applyNumberFormat="1" applyFont="1" applyFill="1" applyBorder="1" applyAlignment="1" applyProtection="1">
      <alignment horizontal="center" vertical="center"/>
      <protection/>
    </xf>
    <xf numFmtId="9" fontId="37" fillId="0" borderId="122" xfId="110" applyFont="1" applyFill="1" applyBorder="1" applyAlignment="1" applyProtection="1">
      <alignment horizontal="center" vertical="center"/>
      <protection/>
    </xf>
    <xf numFmtId="9" fontId="37" fillId="0" borderId="123" xfId="110" applyFont="1" applyFill="1" applyBorder="1" applyAlignment="1" applyProtection="1">
      <alignment horizontal="center" vertical="center"/>
      <protection/>
    </xf>
    <xf numFmtId="43" fontId="2" fillId="35" borderId="124" xfId="64" applyFont="1" applyFill="1" applyBorder="1" applyAlignment="1" applyProtection="1">
      <alignment horizontal="center" vertical="center" wrapText="1"/>
      <protection locked="0"/>
    </xf>
    <xf numFmtId="43" fontId="2" fillId="35" borderId="125" xfId="64" applyFont="1" applyFill="1" applyBorder="1" applyAlignment="1" applyProtection="1">
      <alignment horizontal="center" vertical="center" wrapText="1"/>
      <protection locked="0"/>
    </xf>
    <xf numFmtId="43" fontId="2" fillId="35" borderId="125" xfId="64" applyFont="1" applyFill="1" applyBorder="1" applyAlignment="1" applyProtection="1">
      <alignment horizontal="center" vertical="center" wrapText="1"/>
      <protection locked="0"/>
    </xf>
    <xf numFmtId="43" fontId="0" fillId="24" borderId="126" xfId="64" applyFont="1" applyFill="1" applyBorder="1" applyAlignment="1" applyProtection="1">
      <alignment horizontal="left"/>
      <protection/>
    </xf>
    <xf numFmtId="43" fontId="0" fillId="24" borderId="127" xfId="64" applyFont="1" applyFill="1" applyBorder="1" applyAlignment="1" applyProtection="1">
      <alignment horizontal="left"/>
      <protection/>
    </xf>
    <xf numFmtId="43" fontId="0" fillId="24" borderId="128" xfId="64" applyFont="1" applyFill="1" applyBorder="1" applyAlignment="1" applyProtection="1">
      <alignment horizontal="left"/>
      <protection/>
    </xf>
    <xf numFmtId="43" fontId="2" fillId="0" borderId="129" xfId="64" applyFont="1" applyFill="1" applyBorder="1" applyAlignment="1" applyProtection="1">
      <alignment horizontal="center" vertical="center" wrapText="1"/>
      <protection/>
    </xf>
    <xf numFmtId="43" fontId="2" fillId="0" borderId="81" xfId="64" applyFont="1" applyFill="1" applyBorder="1" applyAlignment="1" applyProtection="1">
      <alignment horizontal="center" vertical="center" wrapText="1"/>
      <protection/>
    </xf>
    <xf numFmtId="43" fontId="2" fillId="35" borderId="130" xfId="64" applyFont="1" applyFill="1" applyBorder="1" applyAlignment="1" applyProtection="1">
      <alignment horizontal="left" vertical="center" wrapText="1"/>
      <protection locked="0"/>
    </xf>
    <xf numFmtId="43" fontId="2" fillId="12" borderId="81" xfId="64" applyFont="1" applyFill="1" applyBorder="1" applyAlignment="1" applyProtection="1">
      <alignment horizontal="center" vertical="center" wrapText="1"/>
      <protection locked="0"/>
    </xf>
    <xf numFmtId="43" fontId="2" fillId="12" borderId="131" xfId="64" applyFont="1" applyFill="1" applyBorder="1" applyAlignment="1" applyProtection="1">
      <alignment horizontal="center" vertical="center" wrapText="1"/>
      <protection locked="0"/>
    </xf>
    <xf numFmtId="43" fontId="2" fillId="12" borderId="129" xfId="64" applyFont="1" applyFill="1" applyBorder="1" applyAlignment="1" applyProtection="1">
      <alignment horizontal="center" vertical="center" wrapText="1"/>
      <protection locked="0"/>
    </xf>
    <xf numFmtId="43" fontId="2" fillId="38" borderId="130" xfId="64" applyFont="1" applyFill="1" applyBorder="1" applyAlignment="1" applyProtection="1">
      <alignment horizontal="left" vertical="center" wrapText="1"/>
      <protection locked="0"/>
    </xf>
    <xf numFmtId="0" fontId="2" fillId="0" borderId="132" xfId="0" applyFont="1" applyFill="1" applyBorder="1" applyAlignment="1" applyProtection="1">
      <alignment horizontal="left" vertical="center" wrapText="1"/>
      <protection/>
    </xf>
    <xf numFmtId="0" fontId="2" fillId="0" borderId="80" xfId="0" applyFont="1" applyFill="1" applyBorder="1" applyAlignment="1" applyProtection="1">
      <alignment horizontal="left" vertical="center" wrapText="1"/>
      <protection/>
    </xf>
    <xf numFmtId="0" fontId="2" fillId="0" borderId="133" xfId="0" applyFont="1" applyFill="1" applyBorder="1" applyAlignment="1" applyProtection="1">
      <alignment horizontal="left" vertical="center" wrapText="1"/>
      <protection/>
    </xf>
    <xf numFmtId="0" fontId="2" fillId="0" borderId="134" xfId="0" applyFont="1" applyFill="1" applyBorder="1" applyAlignment="1" applyProtection="1">
      <alignment horizontal="left" vertical="center" wrapText="1"/>
      <protection/>
    </xf>
    <xf numFmtId="0" fontId="2" fillId="0" borderId="135" xfId="0" applyFont="1" applyFill="1" applyBorder="1" applyAlignment="1" applyProtection="1">
      <alignment horizontal="left" vertical="center" wrapText="1"/>
      <protection/>
    </xf>
    <xf numFmtId="0" fontId="2" fillId="0" borderId="136" xfId="0" applyFont="1" applyFill="1" applyBorder="1" applyAlignment="1" applyProtection="1">
      <alignment horizontal="left" vertical="center" wrapText="1"/>
      <protection/>
    </xf>
    <xf numFmtId="43" fontId="2" fillId="12" borderId="137" xfId="64" applyFont="1" applyFill="1" applyBorder="1" applyAlignment="1" applyProtection="1">
      <alignment horizontal="center" vertical="center" wrapText="1"/>
      <protection locked="0"/>
    </xf>
    <xf numFmtId="43" fontId="92" fillId="0" borderId="0" xfId="64" applyFont="1" applyAlignment="1" applyProtection="1">
      <alignment horizontal="right"/>
      <protection/>
    </xf>
    <xf numFmtId="49" fontId="2" fillId="35" borderId="130" xfId="0" applyNumberFormat="1" applyFont="1" applyFill="1" applyBorder="1" applyAlignment="1" applyProtection="1">
      <alignment horizontal="left" vertical="center" wrapText="1"/>
      <protection locked="0"/>
    </xf>
    <xf numFmtId="49" fontId="2" fillId="35" borderId="12" xfId="0" applyNumberFormat="1" applyFont="1" applyFill="1" applyBorder="1" applyAlignment="1" applyProtection="1">
      <alignment horizontal="left" vertical="center" wrapText="1"/>
      <protection locked="0"/>
    </xf>
    <xf numFmtId="49" fontId="2" fillId="35" borderId="55" xfId="0" applyNumberFormat="1" applyFont="1" applyFill="1" applyBorder="1" applyAlignment="1" applyProtection="1">
      <alignment horizontal="left" vertical="center" wrapText="1"/>
      <protection locked="0"/>
    </xf>
    <xf numFmtId="49" fontId="2" fillId="35" borderId="130" xfId="0" applyNumberFormat="1" applyFont="1" applyFill="1" applyBorder="1" applyAlignment="1" applyProtection="1">
      <alignment horizontal="left" vertical="center" wrapText="1"/>
      <protection locked="0"/>
    </xf>
    <xf numFmtId="49" fontId="2" fillId="12" borderId="130" xfId="0" applyNumberFormat="1" applyFont="1" applyFill="1" applyBorder="1" applyAlignment="1" applyProtection="1">
      <alignment horizontal="left" vertical="center" wrapText="1"/>
      <protection locked="0"/>
    </xf>
    <xf numFmtId="49" fontId="2" fillId="12" borderId="12" xfId="0" applyNumberFormat="1" applyFont="1" applyFill="1" applyBorder="1" applyAlignment="1" applyProtection="1">
      <alignment horizontal="left" vertical="center" wrapText="1"/>
      <protection locked="0"/>
    </xf>
    <xf numFmtId="49" fontId="2" fillId="12" borderId="55" xfId="0" applyNumberFormat="1" applyFont="1" applyFill="1" applyBorder="1" applyAlignment="1" applyProtection="1">
      <alignment horizontal="left" vertical="center" wrapText="1"/>
      <protection locked="0"/>
    </xf>
    <xf numFmtId="49" fontId="2" fillId="12" borderId="138" xfId="0" applyNumberFormat="1" applyFont="1" applyFill="1" applyBorder="1" applyAlignment="1" applyProtection="1">
      <alignment horizontal="left" vertical="center" wrapText="1"/>
      <protection locked="0"/>
    </xf>
    <xf numFmtId="49" fontId="2" fillId="12" borderId="51" xfId="0" applyNumberFormat="1" applyFont="1" applyFill="1" applyBorder="1" applyAlignment="1" applyProtection="1">
      <alignment horizontal="left" vertical="center" wrapText="1"/>
      <protection locked="0"/>
    </xf>
    <xf numFmtId="49" fontId="2" fillId="12" borderId="113" xfId="0" applyNumberFormat="1" applyFont="1" applyFill="1" applyBorder="1" applyAlignment="1" applyProtection="1">
      <alignment horizontal="left" vertical="center" wrapText="1"/>
      <protection locked="0"/>
    </xf>
    <xf numFmtId="43" fontId="0" fillId="12" borderId="55" xfId="64" applyFont="1" applyFill="1" applyBorder="1" applyAlignment="1" applyProtection="1">
      <alignment horizontal="center"/>
      <protection/>
    </xf>
    <xf numFmtId="43" fontId="0" fillId="12" borderId="81" xfId="64" applyFont="1" applyFill="1" applyBorder="1" applyAlignment="1" applyProtection="1">
      <alignment horizontal="center"/>
      <protection/>
    </xf>
    <xf numFmtId="0" fontId="85" fillId="0" borderId="139" xfId="0" applyFont="1" applyBorder="1" applyAlignment="1" applyProtection="1">
      <alignment horizontal="right"/>
      <protection/>
    </xf>
    <xf numFmtId="0" fontId="17" fillId="0" borderId="139" xfId="0" applyFont="1" applyBorder="1" applyAlignment="1">
      <alignment/>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0" fontId="0" fillId="0" borderId="142" xfId="0" applyFill="1" applyBorder="1" applyAlignment="1" applyProtection="1">
      <alignment horizontal="center" vertical="center"/>
      <protection locked="0"/>
    </xf>
    <xf numFmtId="0" fontId="2" fillId="0" borderId="143" xfId="0" applyFont="1" applyFill="1" applyBorder="1" applyAlignment="1" applyProtection="1">
      <alignment horizontal="left" vertical="center" wrapText="1"/>
      <protection/>
    </xf>
    <xf numFmtId="0" fontId="2" fillId="0" borderId="144" xfId="0" applyFont="1" applyFill="1" applyBorder="1" applyAlignment="1" applyProtection="1">
      <alignment horizontal="left" vertical="center" wrapText="1"/>
      <protection/>
    </xf>
    <xf numFmtId="0" fontId="2" fillId="0" borderId="145" xfId="0" applyFont="1" applyFill="1" applyBorder="1" applyAlignment="1" applyProtection="1">
      <alignment horizontal="left" vertical="center" wrapText="1"/>
      <protection/>
    </xf>
    <xf numFmtId="0" fontId="2" fillId="0" borderId="146" xfId="0" applyFont="1" applyFill="1" applyBorder="1" applyAlignment="1" applyProtection="1">
      <alignment horizontal="left" vertical="center" wrapText="1"/>
      <protection/>
    </xf>
    <xf numFmtId="0" fontId="2" fillId="0" borderId="39" xfId="0" applyFont="1" applyFill="1" applyBorder="1" applyAlignment="1" applyProtection="1">
      <alignment horizontal="left" vertical="center" wrapText="1"/>
      <protection/>
    </xf>
    <xf numFmtId="0" fontId="2" fillId="0" borderId="147" xfId="0" applyFont="1" applyFill="1" applyBorder="1" applyAlignment="1" applyProtection="1">
      <alignment horizontal="left" vertical="center" wrapText="1"/>
      <protection/>
    </xf>
    <xf numFmtId="49" fontId="2" fillId="35" borderId="148" xfId="0" applyNumberFormat="1" applyFont="1" applyFill="1" applyBorder="1" applyAlignment="1" applyProtection="1">
      <alignment horizontal="center" vertical="center" wrapText="1"/>
      <protection locked="0"/>
    </xf>
    <xf numFmtId="49" fontId="2" fillId="35" borderId="119" xfId="0" applyNumberFormat="1" applyFont="1" applyFill="1" applyBorder="1" applyAlignment="1" applyProtection="1">
      <alignment horizontal="center" vertical="center" wrapText="1"/>
      <protection locked="0"/>
    </xf>
    <xf numFmtId="49" fontId="2" fillId="35" borderId="149" xfId="0" applyNumberFormat="1" applyFont="1" applyFill="1" applyBorder="1" applyAlignment="1" applyProtection="1">
      <alignment horizontal="center" vertical="center" wrapText="1"/>
      <protection locked="0"/>
    </xf>
    <xf numFmtId="49" fontId="2" fillId="35" borderId="76" xfId="0" applyNumberFormat="1" applyFont="1" applyFill="1" applyBorder="1" applyAlignment="1" applyProtection="1">
      <alignment horizontal="center" vertical="center" wrapText="1"/>
      <protection locked="0"/>
    </xf>
    <xf numFmtId="49" fontId="2" fillId="35" borderId="77" xfId="0" applyNumberFormat="1" applyFont="1" applyFill="1" applyBorder="1" applyAlignment="1" applyProtection="1">
      <alignment horizontal="center" vertical="center" wrapText="1"/>
      <protection locked="0"/>
    </xf>
    <xf numFmtId="49" fontId="2" fillId="35" borderId="116" xfId="0" applyNumberFormat="1" applyFont="1" applyFill="1" applyBorder="1" applyAlignment="1" applyProtection="1">
      <alignment horizontal="center" vertical="center" wrapText="1"/>
      <protection locked="0"/>
    </xf>
    <xf numFmtId="49" fontId="2" fillId="35" borderId="148" xfId="0" applyNumberFormat="1" applyFont="1" applyFill="1" applyBorder="1" applyAlignment="1" applyProtection="1">
      <alignment horizontal="left" vertical="center" wrapText="1"/>
      <protection locked="0"/>
    </xf>
    <xf numFmtId="49" fontId="2" fillId="35" borderId="119" xfId="0" applyNumberFormat="1" applyFont="1" applyFill="1" applyBorder="1" applyAlignment="1" applyProtection="1">
      <alignment horizontal="left" vertical="center" wrapText="1"/>
      <protection locked="0"/>
    </xf>
    <xf numFmtId="49" fontId="2" fillId="35" borderId="149" xfId="0" applyNumberFormat="1" applyFont="1" applyFill="1" applyBorder="1" applyAlignment="1" applyProtection="1">
      <alignment horizontal="left" vertical="center" wrapText="1"/>
      <protection locked="0"/>
    </xf>
    <xf numFmtId="49" fontId="2" fillId="35" borderId="76" xfId="0" applyNumberFormat="1" applyFont="1" applyFill="1" applyBorder="1" applyAlignment="1" applyProtection="1">
      <alignment horizontal="left" vertical="center" wrapText="1"/>
      <protection locked="0"/>
    </xf>
    <xf numFmtId="49" fontId="2" fillId="35" borderId="77" xfId="0" applyNumberFormat="1" applyFont="1" applyFill="1" applyBorder="1" applyAlignment="1" applyProtection="1">
      <alignment horizontal="left" vertical="center" wrapText="1"/>
      <protection locked="0"/>
    </xf>
    <xf numFmtId="49" fontId="2" fillId="35" borderId="116" xfId="0" applyNumberFormat="1" applyFont="1" applyFill="1" applyBorder="1" applyAlignment="1" applyProtection="1">
      <alignment horizontal="left" vertical="center" wrapText="1"/>
      <protection locked="0"/>
    </xf>
    <xf numFmtId="43" fontId="64" fillId="26" borderId="0" xfId="90" applyFont="1" applyFill="1" applyAlignment="1" applyProtection="1">
      <alignment horizontal="center" vertical="center"/>
      <protection/>
    </xf>
    <xf numFmtId="43" fontId="0" fillId="0" borderId="55" xfId="64" applyFont="1" applyBorder="1" applyAlignment="1" applyProtection="1">
      <alignment horizontal="center"/>
      <protection locked="0"/>
    </xf>
    <xf numFmtId="43" fontId="0" fillId="0" borderId="81" xfId="64" applyFont="1" applyBorder="1" applyAlignment="1" applyProtection="1">
      <alignment horizontal="center"/>
      <protection locked="0"/>
    </xf>
    <xf numFmtId="43" fontId="0" fillId="0" borderId="80" xfId="64" applyFont="1" applyBorder="1" applyAlignment="1" applyProtection="1">
      <alignment horizontal="center"/>
      <protection locked="0"/>
    </xf>
    <xf numFmtId="43" fontId="0" fillId="0" borderId="55" xfId="64" applyFont="1" applyBorder="1" applyAlignment="1" applyProtection="1">
      <alignment horizontal="left"/>
      <protection locked="0"/>
    </xf>
    <xf numFmtId="43" fontId="0" fillId="0" borderId="81" xfId="64" applyFont="1" applyBorder="1" applyAlignment="1" applyProtection="1">
      <alignment horizontal="left"/>
      <protection locked="0"/>
    </xf>
    <xf numFmtId="43" fontId="1" fillId="0" borderId="55" xfId="64" applyFont="1" applyBorder="1" applyAlignment="1" applyProtection="1">
      <alignment horizontal="left"/>
      <protection locked="0"/>
    </xf>
    <xf numFmtId="43" fontId="1" fillId="0" borderId="80" xfId="64" applyFont="1" applyBorder="1" applyAlignment="1" applyProtection="1">
      <alignment horizontal="left"/>
      <protection locked="0"/>
    </xf>
    <xf numFmtId="43" fontId="1" fillId="0" borderId="81" xfId="64" applyFont="1" applyBorder="1" applyAlignment="1" applyProtection="1">
      <alignment horizontal="left"/>
      <protection locked="0"/>
    </xf>
    <xf numFmtId="43" fontId="0" fillId="0" borderId="80" xfId="64" applyFont="1" applyBorder="1" applyAlignment="1" applyProtection="1">
      <alignment horizontal="left"/>
      <protection locked="0"/>
    </xf>
    <xf numFmtId="0" fontId="92" fillId="0" borderId="0" xfId="0" applyFont="1" applyBorder="1" applyAlignment="1" applyProtection="1">
      <alignment horizontal="right"/>
      <protection/>
    </xf>
    <xf numFmtId="0" fontId="92" fillId="0" borderId="150" xfId="0" applyFont="1" applyBorder="1" applyAlignment="1" applyProtection="1">
      <alignment horizontal="right"/>
      <protection/>
    </xf>
    <xf numFmtId="0" fontId="0" fillId="0" borderId="151" xfId="0" applyBorder="1" applyAlignment="1" applyProtection="1">
      <alignment horizontal="center"/>
      <protection/>
    </xf>
    <xf numFmtId="0" fontId="0" fillId="0" borderId="100" xfId="0" applyBorder="1" applyAlignment="1" applyProtection="1">
      <alignment horizontal="center"/>
      <protection/>
    </xf>
    <xf numFmtId="0" fontId="114" fillId="0" borderId="148" xfId="91" applyFont="1" applyFill="1" applyBorder="1" applyAlignment="1" applyProtection="1">
      <alignment horizontal="left" vertical="center" wrapText="1"/>
      <protection locked="0"/>
    </xf>
    <xf numFmtId="0" fontId="114" fillId="0" borderId="119" xfId="91" applyFont="1" applyFill="1" applyBorder="1" applyAlignment="1" applyProtection="1">
      <alignment horizontal="left" vertical="center" wrapText="1"/>
      <protection locked="0"/>
    </xf>
    <xf numFmtId="0" fontId="114" fillId="0" borderId="149" xfId="91" applyFont="1" applyFill="1" applyBorder="1" applyAlignment="1" applyProtection="1">
      <alignment horizontal="left" vertical="center" wrapText="1"/>
      <protection locked="0"/>
    </xf>
    <xf numFmtId="0" fontId="114" fillId="0" borderId="76" xfId="91" applyFont="1" applyFill="1" applyBorder="1" applyAlignment="1" applyProtection="1">
      <alignment horizontal="left" vertical="center" wrapText="1"/>
      <protection locked="0"/>
    </xf>
    <xf numFmtId="0" fontId="114" fillId="0" borderId="77" xfId="91" applyFont="1" applyFill="1" applyBorder="1" applyAlignment="1" applyProtection="1">
      <alignment horizontal="left" vertical="center" wrapText="1"/>
      <protection locked="0"/>
    </xf>
    <xf numFmtId="0" fontId="114" fillId="0" borderId="116" xfId="91" applyFont="1" applyFill="1" applyBorder="1" applyAlignment="1" applyProtection="1">
      <alignment horizontal="left" vertical="center" wrapText="1"/>
      <protection locked="0"/>
    </xf>
    <xf numFmtId="0" fontId="78" fillId="0" borderId="152" xfId="0" applyFont="1" applyFill="1" applyBorder="1" applyAlignment="1" applyProtection="1">
      <alignment horizontal="center" vertical="center"/>
      <protection/>
    </xf>
    <xf numFmtId="0" fontId="78" fillId="0" borderId="153" xfId="0" applyFont="1" applyFill="1" applyBorder="1" applyAlignment="1" applyProtection="1">
      <alignment horizontal="center" vertical="center"/>
      <protection/>
    </xf>
    <xf numFmtId="0" fontId="78" fillId="0" borderId="154" xfId="0" applyFont="1" applyFill="1" applyBorder="1" applyAlignment="1" applyProtection="1">
      <alignment horizontal="center" vertical="center"/>
      <protection/>
    </xf>
    <xf numFmtId="43" fontId="92" fillId="0" borderId="83" xfId="64" applyFont="1" applyBorder="1" applyAlignment="1" applyProtection="1">
      <alignment horizontal="right"/>
      <protection/>
    </xf>
    <xf numFmtId="43" fontId="92" fillId="0" borderId="150" xfId="64" applyFont="1" applyBorder="1" applyAlignment="1" applyProtection="1">
      <alignment horizontal="right"/>
      <protection/>
    </xf>
    <xf numFmtId="15" fontId="1" fillId="0" borderId="12" xfId="64" applyNumberFormat="1" applyFont="1" applyFill="1" applyBorder="1" applyAlignment="1" applyProtection="1">
      <alignment horizontal="center"/>
      <protection locked="0"/>
    </xf>
    <xf numFmtId="43" fontId="0" fillId="0" borderId="12" xfId="64" applyFont="1" applyFill="1" applyBorder="1" applyAlignment="1" applyProtection="1">
      <alignment horizontal="center"/>
      <protection locked="0"/>
    </xf>
    <xf numFmtId="43" fontId="18" fillId="22" borderId="12" xfId="64" applyFont="1" applyFill="1" applyBorder="1" applyAlignment="1" applyProtection="1">
      <alignment horizontal="center"/>
      <protection locked="0"/>
    </xf>
    <xf numFmtId="0" fontId="0" fillId="10" borderId="155" xfId="0" applyFill="1" applyBorder="1" applyAlignment="1" applyProtection="1">
      <alignment horizontal="center" vertical="center" textRotation="90"/>
      <protection/>
    </xf>
    <xf numFmtId="43" fontId="17" fillId="0" borderId="156" xfId="0" applyNumberFormat="1" applyFont="1" applyBorder="1" applyAlignment="1" applyProtection="1">
      <alignment horizontal="center"/>
      <protection/>
    </xf>
    <xf numFmtId="0" fontId="17" fillId="0" borderId="157" xfId="0" applyFont="1" applyBorder="1" applyAlignment="1" applyProtection="1">
      <alignment horizontal="center"/>
      <protection/>
    </xf>
    <xf numFmtId="0" fontId="17" fillId="0" borderId="158" xfId="0" applyFont="1" applyBorder="1" applyAlignment="1" applyProtection="1">
      <alignment horizontal="center"/>
      <protection/>
    </xf>
    <xf numFmtId="0" fontId="29" fillId="0" borderId="159" xfId="0" applyFont="1" applyBorder="1" applyAlignment="1" applyProtection="1">
      <alignment horizontal="center" wrapText="1"/>
      <protection/>
    </xf>
    <xf numFmtId="0" fontId="29" fillId="0" borderId="160" xfId="0" applyFont="1" applyBorder="1" applyAlignment="1" applyProtection="1">
      <alignment horizontal="center" wrapText="1"/>
      <protection/>
    </xf>
    <xf numFmtId="0" fontId="29" fillId="0" borderId="161" xfId="0" applyFont="1" applyBorder="1" applyAlignment="1" applyProtection="1">
      <alignment horizontal="center" wrapText="1"/>
      <protection/>
    </xf>
    <xf numFmtId="49" fontId="17" fillId="0" borderId="23"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49" fontId="17" fillId="0" borderId="24" xfId="0" applyNumberFormat="1" applyFont="1" applyBorder="1" applyAlignment="1" applyProtection="1">
      <alignment horizontal="center"/>
      <protection/>
    </xf>
    <xf numFmtId="49" fontId="17" fillId="0" borderId="102" xfId="0" applyNumberFormat="1" applyFont="1" applyBorder="1" applyAlignment="1" applyProtection="1">
      <alignment horizontal="center"/>
      <protection/>
    </xf>
    <xf numFmtId="43" fontId="27" fillId="13" borderId="58" xfId="127" applyFont="1" applyFill="1" applyBorder="1" applyAlignment="1" applyProtection="1">
      <alignment horizontal="left"/>
      <protection/>
    </xf>
    <xf numFmtId="43" fontId="1" fillId="0" borderId="58" xfId="127" applyFont="1" applyFill="1" applyBorder="1" applyAlignment="1" applyProtection="1">
      <alignment horizontal="right"/>
      <protection/>
    </xf>
    <xf numFmtId="43" fontId="102" fillId="36" borderId="58" xfId="127" applyFont="1" applyFill="1" applyBorder="1" applyAlignment="1" applyProtection="1">
      <alignment horizontal="center"/>
      <protection/>
    </xf>
    <xf numFmtId="15" fontId="27" fillId="13" borderId="58" xfId="127" applyNumberFormat="1" applyFont="1" applyFill="1" applyBorder="1" applyAlignment="1" applyProtection="1">
      <alignment horizontal="left"/>
      <protection/>
    </xf>
    <xf numFmtId="0" fontId="0" fillId="0" borderId="58" xfId="0" applyBorder="1" applyAlignment="1">
      <alignment horizontal="left"/>
    </xf>
    <xf numFmtId="43" fontId="20" fillId="26" borderId="0" xfId="90" applyFont="1" applyFill="1" applyAlignment="1" applyProtection="1">
      <alignment horizontal="center" vertical="center"/>
      <protection/>
    </xf>
    <xf numFmtId="43" fontId="37" fillId="13" borderId="0" xfId="101" applyFont="1" applyFill="1" applyAlignment="1" applyProtection="1">
      <alignment horizontal="center" vertical="center" wrapText="1"/>
      <protection/>
    </xf>
    <xf numFmtId="192" fontId="27" fillId="13" borderId="58" xfId="127" applyNumberFormat="1" applyFont="1" applyFill="1" applyBorder="1" applyAlignment="1" applyProtection="1">
      <alignment horizontal="left"/>
      <protection/>
    </xf>
    <xf numFmtId="43" fontId="1" fillId="0" borderId="58" xfId="127" applyFont="1" applyBorder="1" applyAlignment="1" applyProtection="1">
      <alignment horizontal="right"/>
      <protection/>
    </xf>
    <xf numFmtId="43" fontId="23" fillId="0" borderId="0" xfId="101" applyFont="1" applyFill="1" applyAlignment="1" applyProtection="1">
      <alignment horizontal="right" vertical="center"/>
      <protection/>
    </xf>
    <xf numFmtId="43" fontId="27" fillId="13" borderId="0" xfId="101" applyFont="1" applyFill="1" applyAlignment="1" applyProtection="1">
      <alignment horizontal="center" vertical="center" wrapText="1"/>
      <protection/>
    </xf>
    <xf numFmtId="0" fontId="103" fillId="0" borderId="162" xfId="0" applyFont="1" applyFill="1" applyBorder="1" applyAlignment="1" applyProtection="1">
      <alignment horizontal="left" wrapText="1"/>
      <protection/>
    </xf>
    <xf numFmtId="0" fontId="103" fillId="0" borderId="66" xfId="0" applyFont="1" applyFill="1" applyBorder="1" applyAlignment="1" applyProtection="1">
      <alignment horizontal="left" wrapText="1"/>
      <protection/>
    </xf>
    <xf numFmtId="0" fontId="103" fillId="0" borderId="163" xfId="0" applyFont="1" applyFill="1" applyBorder="1" applyAlignment="1" applyProtection="1">
      <alignment horizontal="left" wrapText="1"/>
      <protection/>
    </xf>
    <xf numFmtId="0" fontId="103" fillId="0" borderId="164" xfId="0" applyFont="1" applyFill="1" applyBorder="1" applyAlignment="1" applyProtection="1">
      <alignment horizontal="left" wrapText="1"/>
      <protection/>
    </xf>
    <xf numFmtId="43" fontId="17" fillId="0" borderId="0" xfId="0" applyNumberFormat="1" applyFont="1" applyAlignment="1" applyProtection="1">
      <alignment horizontal="center" wrapText="1"/>
      <protection/>
    </xf>
    <xf numFmtId="43"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43" fontId="17" fillId="0" borderId="0" xfId="0" applyNumberFormat="1" applyFont="1" applyAlignment="1" applyProtection="1">
      <alignment horizontal="center"/>
      <protection/>
    </xf>
    <xf numFmtId="43" fontId="31" fillId="0" borderId="0" xfId="0" applyNumberFormat="1" applyFont="1" applyAlignment="1" applyProtection="1">
      <alignment horizontal="left"/>
      <protection/>
    </xf>
    <xf numFmtId="43" fontId="18" fillId="36" borderId="0" xfId="127" applyFont="1" applyFill="1" applyBorder="1" applyAlignment="1" applyProtection="1">
      <alignment horizontal="center"/>
      <protection/>
    </xf>
    <xf numFmtId="0" fontId="98" fillId="0" borderId="0" xfId="0" applyFont="1" applyAlignment="1" applyProtection="1">
      <alignment horizontal="center"/>
      <protection/>
    </xf>
    <xf numFmtId="43" fontId="97" fillId="0" borderId="126" xfId="0" applyNumberFormat="1" applyFont="1" applyBorder="1" applyAlignment="1" applyProtection="1">
      <alignment horizontal="center" vertical="center" wrapText="1"/>
      <protection/>
    </xf>
    <xf numFmtId="43" fontId="97" fillId="0" borderId="127" xfId="0" applyNumberFormat="1" applyFont="1" applyBorder="1" applyAlignment="1" applyProtection="1">
      <alignment horizontal="center" vertical="center" wrapText="1"/>
      <protection/>
    </xf>
    <xf numFmtId="43" fontId="97" fillId="0" borderId="128" xfId="0" applyNumberFormat="1" applyFont="1" applyBorder="1" applyAlignment="1" applyProtection="1">
      <alignment horizontal="center" vertical="center" wrapText="1"/>
      <protection/>
    </xf>
    <xf numFmtId="0" fontId="0" fillId="0" borderId="165" xfId="0" applyBorder="1" applyAlignment="1" applyProtection="1">
      <alignment horizontal="center"/>
      <protection/>
    </xf>
    <xf numFmtId="0" fontId="0" fillId="0" borderId="54" xfId="0" applyBorder="1" applyAlignment="1" applyProtection="1">
      <alignment horizontal="center"/>
      <protection/>
    </xf>
    <xf numFmtId="0" fontId="33" fillId="12" borderId="55" xfId="0" applyFont="1" applyFill="1" applyBorder="1" applyAlignment="1" applyProtection="1">
      <alignment horizontal="left" wrapText="1"/>
      <protection locked="0"/>
    </xf>
    <xf numFmtId="0" fontId="0" fillId="0" borderId="80" xfId="0" applyBorder="1" applyAlignment="1" applyProtection="1">
      <alignment horizontal="left" wrapText="1"/>
      <protection locked="0"/>
    </xf>
    <xf numFmtId="0" fontId="0" fillId="0" borderId="81" xfId="0" applyBorder="1" applyAlignment="1" applyProtection="1">
      <alignment horizontal="left" wrapText="1"/>
      <protection locked="0"/>
    </xf>
    <xf numFmtId="0" fontId="38" fillId="12" borderId="55" xfId="0" applyFont="1" applyFill="1" applyBorder="1" applyAlignment="1" applyProtection="1">
      <alignment horizontal="left" wrapText="1"/>
      <protection locked="0"/>
    </xf>
    <xf numFmtId="0" fontId="38" fillId="12" borderId="80" xfId="0" applyFont="1" applyFill="1" applyBorder="1" applyAlignment="1" applyProtection="1">
      <alignment horizontal="left" wrapText="1"/>
      <protection locked="0"/>
    </xf>
    <xf numFmtId="0" fontId="38" fillId="12" borderId="81" xfId="0" applyFont="1" applyFill="1" applyBorder="1" applyAlignment="1" applyProtection="1">
      <alignment horizontal="left" wrapText="1"/>
      <protection locked="0"/>
    </xf>
    <xf numFmtId="43" fontId="31" fillId="0" borderId="0" xfId="0" applyNumberFormat="1" applyFont="1" applyAlignment="1">
      <alignment horizontal="left"/>
    </xf>
    <xf numFmtId="43" fontId="17" fillId="0" borderId="0" xfId="0" applyNumberFormat="1" applyFont="1" applyAlignment="1">
      <alignment horizontal="center"/>
    </xf>
    <xf numFmtId="0" fontId="0" fillId="0" borderId="140" xfId="0" applyFill="1" applyBorder="1" applyAlignment="1" applyProtection="1">
      <alignment horizontal="center" vertical="center"/>
      <protection/>
    </xf>
    <xf numFmtId="0" fontId="0" fillId="0" borderId="141" xfId="0" applyFill="1" applyBorder="1" applyAlignment="1" applyProtection="1">
      <alignment horizontal="center" vertical="center"/>
      <protection/>
    </xf>
    <xf numFmtId="0" fontId="0" fillId="0" borderId="142" xfId="0" applyFill="1" applyBorder="1" applyAlignment="1" applyProtection="1">
      <alignment horizontal="center" vertical="center"/>
      <protection/>
    </xf>
    <xf numFmtId="43" fontId="31" fillId="0" borderId="0" xfId="0" applyNumberFormat="1" applyFont="1" applyAlignment="1">
      <alignment horizontal="right"/>
    </xf>
    <xf numFmtId="15" fontId="31" fillId="0" borderId="0" xfId="0" applyNumberFormat="1" applyFont="1" applyAlignment="1">
      <alignment horizontal="right"/>
    </xf>
    <xf numFmtId="0" fontId="0" fillId="0" borderId="80" xfId="0" applyBorder="1" applyAlignment="1">
      <alignment horizontal="left" wrapText="1"/>
    </xf>
    <xf numFmtId="0" fontId="0" fillId="0" borderId="81" xfId="0" applyBorder="1" applyAlignment="1">
      <alignment horizontal="left" wrapText="1"/>
    </xf>
    <xf numFmtId="0" fontId="0" fillId="0" borderId="0" xfId="0" applyBorder="1" applyAlignment="1">
      <alignment horizontal="center"/>
    </xf>
    <xf numFmtId="0" fontId="86" fillId="0" borderId="0" xfId="0" applyFont="1" applyAlignment="1">
      <alignment horizontal="left" wrapText="1"/>
    </xf>
    <xf numFmtId="43" fontId="64" fillId="26" borderId="0" xfId="99" applyFont="1" applyFill="1" applyAlignment="1">
      <alignment horizontal="center" vertical="center"/>
      <protection/>
    </xf>
    <xf numFmtId="0" fontId="98" fillId="0" borderId="0" xfId="0" applyFont="1" applyAlignment="1">
      <alignment horizontal="center"/>
    </xf>
    <xf numFmtId="0" fontId="17" fillId="0" borderId="0" xfId="0" applyFont="1" applyBorder="1" applyAlignment="1">
      <alignment horizontal="center"/>
    </xf>
    <xf numFmtId="43" fontId="64" fillId="26" borderId="0" xfId="99" applyFont="1" applyFill="1" applyAlignment="1" applyProtection="1">
      <alignment horizontal="center" vertical="center"/>
      <protection/>
    </xf>
    <xf numFmtId="0" fontId="38" fillId="0" borderId="126" xfId="0" applyFont="1" applyBorder="1" applyAlignment="1" applyProtection="1">
      <alignment horizontal="left" vertical="center" wrapText="1"/>
      <protection/>
    </xf>
    <xf numFmtId="0" fontId="38" fillId="0" borderId="127" xfId="0" applyFont="1" applyBorder="1" applyAlignment="1" applyProtection="1">
      <alignment horizontal="left" vertical="center" wrapText="1"/>
      <protection/>
    </xf>
    <xf numFmtId="0" fontId="38" fillId="0" borderId="128" xfId="0" applyFont="1" applyBorder="1" applyAlignment="1" applyProtection="1">
      <alignment horizontal="left" vertical="center" wrapText="1"/>
      <protection/>
    </xf>
    <xf numFmtId="43" fontId="98" fillId="0" borderId="0" xfId="0" applyNumberFormat="1" applyFont="1" applyAlignment="1" applyProtection="1">
      <alignment horizontal="center"/>
      <protection/>
    </xf>
    <xf numFmtId="43" fontId="37" fillId="0" borderId="0" xfId="0" applyNumberFormat="1" applyFont="1" applyAlignment="1" applyProtection="1">
      <alignment horizontal="center"/>
      <protection/>
    </xf>
    <xf numFmtId="43" fontId="18" fillId="36" borderId="0" xfId="128" applyFont="1" applyFill="1" applyBorder="1" applyAlignment="1" applyProtection="1">
      <alignment horizontal="center"/>
      <protection/>
    </xf>
    <xf numFmtId="9" fontId="31" fillId="0" borderId="55" xfId="110" applyFont="1" applyBorder="1" applyAlignment="1" applyProtection="1">
      <alignment horizontal="center" vertical="center" wrapText="1"/>
      <protection/>
    </xf>
    <xf numFmtId="9" fontId="31" fillId="0" borderId="80" xfId="110" applyFont="1" applyBorder="1" applyAlignment="1" applyProtection="1">
      <alignment horizontal="center" vertical="center" wrapText="1"/>
      <protection/>
    </xf>
    <xf numFmtId="9" fontId="31" fillId="0" borderId="81" xfId="110" applyFont="1" applyBorder="1" applyAlignment="1" applyProtection="1">
      <alignment horizontal="center" vertical="center" wrapText="1"/>
      <protection/>
    </xf>
    <xf numFmtId="9" fontId="38" fillId="12" borderId="12" xfId="110" applyFont="1" applyFill="1" applyBorder="1" applyAlignment="1" applyProtection="1">
      <alignment horizontal="left" vertical="center" wrapText="1"/>
      <protection locked="0"/>
    </xf>
    <xf numFmtId="0" fontId="38" fillId="0" borderId="55" xfId="0" applyFont="1" applyBorder="1" applyAlignment="1" applyProtection="1">
      <alignment horizontal="center" vertical="center"/>
      <protection/>
    </xf>
    <xf numFmtId="0" fontId="38" fillId="0" borderId="80" xfId="0" applyFont="1" applyBorder="1" applyAlignment="1" applyProtection="1">
      <alignment horizontal="center" vertical="center"/>
      <protection/>
    </xf>
    <xf numFmtId="0" fontId="38" fillId="0" borderId="81" xfId="0" applyFont="1" applyBorder="1" applyAlignment="1" applyProtection="1">
      <alignment horizontal="center" vertical="center"/>
      <protection/>
    </xf>
    <xf numFmtId="9" fontId="38" fillId="12" borderId="55" xfId="110" applyFont="1" applyFill="1" applyBorder="1" applyAlignment="1" applyProtection="1">
      <alignment horizontal="left" vertical="center" wrapText="1"/>
      <protection locked="0"/>
    </xf>
    <xf numFmtId="9" fontId="38" fillId="12" borderId="80" xfId="110" applyFont="1" applyFill="1" applyBorder="1" applyAlignment="1" applyProtection="1">
      <alignment horizontal="left" vertical="center" wrapText="1"/>
      <protection locked="0"/>
    </xf>
    <xf numFmtId="9" fontId="38" fillId="12" borderId="81" xfId="110" applyFont="1" applyFill="1" applyBorder="1" applyAlignment="1" applyProtection="1">
      <alignment horizontal="left" vertical="center" wrapText="1"/>
      <protection locked="0"/>
    </xf>
    <xf numFmtId="0" fontId="38" fillId="0" borderId="12" xfId="0" applyFont="1" applyBorder="1" applyAlignment="1" applyProtection="1">
      <alignment vertical="center" wrapText="1"/>
      <protection/>
    </xf>
    <xf numFmtId="9" fontId="40" fillId="24" borderId="55" xfId="110" applyFont="1" applyFill="1" applyBorder="1" applyAlignment="1" applyProtection="1">
      <alignment horizontal="center" vertical="center" wrapText="1"/>
      <protection/>
    </xf>
    <xf numFmtId="9" fontId="40" fillId="24" borderId="81" xfId="110" applyFont="1" applyFill="1" applyBorder="1" applyAlignment="1" applyProtection="1">
      <alignment horizontal="center" vertical="center" wrapText="1"/>
      <protection/>
    </xf>
    <xf numFmtId="9" fontId="40" fillId="39" borderId="55" xfId="110" applyFont="1" applyFill="1" applyBorder="1" applyAlignment="1" applyProtection="1">
      <alignment horizontal="center" vertical="center" wrapText="1"/>
      <protection/>
    </xf>
    <xf numFmtId="9" fontId="40" fillId="39" borderId="81" xfId="110" applyFont="1" applyFill="1" applyBorder="1" applyAlignment="1" applyProtection="1">
      <alignment horizontal="center" vertical="center" wrapText="1"/>
      <protection/>
    </xf>
    <xf numFmtId="0" fontId="37" fillId="0" borderId="77"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0" fontId="38" fillId="2" borderId="0" xfId="0" applyFont="1" applyFill="1" applyAlignment="1" applyProtection="1">
      <alignment horizontal="center" vertical="center" wrapText="1"/>
      <protection/>
    </xf>
    <xf numFmtId="0" fontId="38" fillId="0" borderId="55" xfId="0" applyFont="1" applyBorder="1" applyAlignment="1" applyProtection="1">
      <alignment vertical="center" wrapText="1"/>
      <protection/>
    </xf>
    <xf numFmtId="0" fontId="38" fillId="0" borderId="80" xfId="0" applyFont="1" applyBorder="1" applyAlignment="1" applyProtection="1">
      <alignment vertical="center" wrapText="1"/>
      <protection/>
    </xf>
    <xf numFmtId="0" fontId="38" fillId="0" borderId="81" xfId="0" applyFont="1" applyBorder="1" applyAlignment="1" applyProtection="1">
      <alignment vertical="center" wrapText="1"/>
      <protection/>
    </xf>
    <xf numFmtId="0" fontId="38" fillId="2" borderId="166"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0" fontId="38" fillId="2" borderId="0" xfId="0" applyFont="1" applyFill="1" applyBorder="1" applyAlignment="1" applyProtection="1">
      <alignment horizontal="left"/>
      <protection/>
    </xf>
    <xf numFmtId="0" fontId="38" fillId="2" borderId="0" xfId="0" applyFont="1" applyFill="1" applyAlignment="1" applyProtection="1">
      <alignment horizontal="left"/>
      <protection locked="0"/>
    </xf>
    <xf numFmtId="0" fontId="38" fillId="2" borderId="37" xfId="0" applyFont="1" applyFill="1" applyBorder="1" applyAlignment="1" applyProtection="1">
      <alignment horizontal="left"/>
      <protection locked="0"/>
    </xf>
    <xf numFmtId="0" fontId="38" fillId="2" borderId="119" xfId="0" applyFont="1" applyFill="1" applyBorder="1" applyAlignment="1" applyProtection="1">
      <alignment horizontal="left"/>
      <protection/>
    </xf>
    <xf numFmtId="0" fontId="38" fillId="2" borderId="119" xfId="0" applyFont="1" applyFill="1" applyBorder="1" applyAlignment="1" applyProtection="1">
      <alignment horizontal="left" vertical="center" wrapText="1"/>
      <protection/>
    </xf>
    <xf numFmtId="0" fontId="38" fillId="12" borderId="78" xfId="0" applyFont="1" applyFill="1" applyBorder="1" applyAlignment="1" applyProtection="1">
      <alignment horizontal="left" vertical="top" wrapText="1"/>
      <protection locked="0"/>
    </xf>
    <xf numFmtId="0" fontId="0" fillId="0" borderId="77" xfId="0" applyBorder="1" applyAlignment="1">
      <alignment horizontal="left" vertical="top" wrapText="1"/>
    </xf>
    <xf numFmtId="0" fontId="0" fillId="0" borderId="79" xfId="0" applyBorder="1" applyAlignment="1">
      <alignment horizontal="left" vertical="top" wrapText="1"/>
    </xf>
    <xf numFmtId="0" fontId="38" fillId="12" borderId="77" xfId="0" applyFont="1" applyFill="1" applyBorder="1" applyAlignment="1" applyProtection="1">
      <alignment horizontal="left" vertical="top" wrapText="1"/>
      <protection locked="0"/>
    </xf>
    <xf numFmtId="0" fontId="38" fillId="12" borderId="79" xfId="0" applyFont="1" applyFill="1" applyBorder="1" applyAlignment="1" applyProtection="1">
      <alignment horizontal="left" vertical="top" wrapText="1"/>
      <protection locked="0"/>
    </xf>
    <xf numFmtId="0" fontId="2" fillId="40" borderId="167" xfId="0" applyFont="1" applyFill="1" applyBorder="1" applyAlignment="1" applyProtection="1">
      <alignment horizontal="center" vertical="top" wrapText="1"/>
      <protection locked="0"/>
    </xf>
    <xf numFmtId="0" fontId="2" fillId="40" borderId="168" xfId="0" applyFont="1" applyFill="1" applyBorder="1" applyAlignment="1" applyProtection="1">
      <alignment horizontal="center" vertical="top" wrapText="1"/>
      <protection locked="0"/>
    </xf>
    <xf numFmtId="0" fontId="2" fillId="40" borderId="169" xfId="0" applyFont="1" applyFill="1" applyBorder="1" applyAlignment="1" applyProtection="1">
      <alignment horizontal="center" vertical="top" wrapText="1"/>
      <protection locked="0"/>
    </xf>
    <xf numFmtId="0" fontId="2" fillId="40" borderId="170" xfId="0" applyFont="1" applyFill="1" applyBorder="1" applyAlignment="1" applyProtection="1">
      <alignment horizontal="center" vertical="top" wrapText="1"/>
      <protection locked="0"/>
    </xf>
    <xf numFmtId="0" fontId="2" fillId="40" borderId="171" xfId="0" applyFont="1" applyFill="1" applyBorder="1" applyAlignment="1" applyProtection="1">
      <alignment horizontal="center" vertical="top" wrapText="1"/>
      <protection locked="0"/>
    </xf>
    <xf numFmtId="0" fontId="2" fillId="40" borderId="172"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63" fillId="3" borderId="173" xfId="0" applyFont="1" applyFill="1" applyBorder="1" applyAlignment="1" applyProtection="1">
      <alignment horizontal="center" vertical="center"/>
      <protection/>
    </xf>
    <xf numFmtId="0" fontId="63" fillId="3" borderId="174" xfId="0" applyFont="1" applyFill="1" applyBorder="1" applyAlignment="1" applyProtection="1">
      <alignment horizontal="center" vertical="center"/>
      <protection/>
    </xf>
    <xf numFmtId="0" fontId="63" fillId="3" borderId="175" xfId="0" applyFont="1" applyFill="1" applyBorder="1" applyAlignment="1" applyProtection="1">
      <alignment horizontal="center" vertical="center"/>
      <protection/>
    </xf>
    <xf numFmtId="0" fontId="2" fillId="41" borderId="176" xfId="0" applyFont="1" applyFill="1" applyBorder="1" applyAlignment="1" applyProtection="1">
      <alignment horizontal="center" vertical="top" wrapText="1"/>
      <protection locked="0"/>
    </xf>
    <xf numFmtId="0" fontId="2" fillId="41" borderId="177" xfId="0" applyFont="1" applyFill="1" applyBorder="1" applyAlignment="1" applyProtection="1">
      <alignment horizontal="center" vertical="top" wrapText="1"/>
      <protection locked="0"/>
    </xf>
    <xf numFmtId="0" fontId="2" fillId="41" borderId="178" xfId="0" applyFont="1" applyFill="1" applyBorder="1" applyAlignment="1" applyProtection="1">
      <alignment horizontal="center" vertical="top" wrapText="1"/>
      <protection locked="0"/>
    </xf>
    <xf numFmtId="0" fontId="2" fillId="41" borderId="179" xfId="0" applyFont="1" applyFill="1" applyBorder="1" applyAlignment="1" applyProtection="1">
      <alignment horizontal="center" vertical="top" wrapText="1"/>
      <protection locked="0"/>
    </xf>
    <xf numFmtId="0" fontId="2" fillId="41" borderId="180" xfId="0" applyFont="1" applyFill="1" applyBorder="1" applyAlignment="1" applyProtection="1">
      <alignment horizontal="center" vertical="top" wrapText="1"/>
      <protection locked="0"/>
    </xf>
    <xf numFmtId="0" fontId="2" fillId="41" borderId="181" xfId="0" applyFont="1" applyFill="1" applyBorder="1" applyAlignment="1" applyProtection="1">
      <alignment horizontal="center" vertical="top" wrapText="1"/>
      <protection locked="0"/>
    </xf>
    <xf numFmtId="0" fontId="2" fillId="41" borderId="182" xfId="0" applyFont="1" applyFill="1" applyBorder="1" applyAlignment="1" applyProtection="1">
      <alignment horizontal="center" vertical="top" wrapText="1"/>
      <protection locked="0"/>
    </xf>
    <xf numFmtId="0" fontId="2" fillId="41" borderId="183" xfId="0" applyFont="1" applyFill="1" applyBorder="1" applyAlignment="1" applyProtection="1">
      <alignment horizontal="center" vertical="top" wrapText="1"/>
      <protection locked="0"/>
    </xf>
    <xf numFmtId="0" fontId="2" fillId="41" borderId="184" xfId="0" applyFont="1" applyFill="1" applyBorder="1" applyAlignment="1" applyProtection="1">
      <alignment horizontal="center" vertical="top" wrapText="1"/>
      <protection locked="0"/>
    </xf>
    <xf numFmtId="0" fontId="79" fillId="0" borderId="185" xfId="0" applyFont="1" applyFill="1" applyBorder="1" applyAlignment="1" applyProtection="1">
      <alignment horizontal="center"/>
      <protection/>
    </xf>
    <xf numFmtId="0" fontId="79" fillId="0" borderId="186" xfId="0" applyFont="1" applyFill="1" applyBorder="1" applyAlignment="1" applyProtection="1">
      <alignment horizontal="center"/>
      <protection/>
    </xf>
    <xf numFmtId="49" fontId="2" fillId="42" borderId="187" xfId="0" applyNumberFormat="1" applyFont="1" applyFill="1" applyBorder="1" applyAlignment="1" applyProtection="1">
      <alignment horizontal="center" vertical="center"/>
      <protection locked="0"/>
    </xf>
    <xf numFmtId="49" fontId="2" fillId="42" borderId="188" xfId="0" applyNumberFormat="1" applyFont="1" applyFill="1" applyBorder="1" applyAlignment="1" applyProtection="1">
      <alignment horizontal="center" vertical="center"/>
      <protection locked="0"/>
    </xf>
    <xf numFmtId="49" fontId="2" fillId="42" borderId="189" xfId="0" applyNumberFormat="1" applyFont="1" applyFill="1" applyBorder="1" applyAlignment="1" applyProtection="1">
      <alignment horizontal="center" vertical="center"/>
      <protection locked="0"/>
    </xf>
    <xf numFmtId="49" fontId="2" fillId="42" borderId="190" xfId="0" applyNumberFormat="1" applyFont="1" applyFill="1" applyBorder="1" applyAlignment="1" applyProtection="1">
      <alignment horizontal="center" vertical="center"/>
      <protection locked="0"/>
    </xf>
    <xf numFmtId="49" fontId="2" fillId="42" borderId="16" xfId="0" applyNumberFormat="1" applyFont="1" applyFill="1" applyBorder="1" applyAlignment="1" applyProtection="1">
      <alignment horizontal="center" vertical="center"/>
      <protection locked="0"/>
    </xf>
    <xf numFmtId="49" fontId="2" fillId="42" borderId="191"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protection/>
    </xf>
    <xf numFmtId="0" fontId="98" fillId="0" borderId="0" xfId="0" applyFont="1" applyBorder="1" applyAlignment="1" applyProtection="1">
      <alignment horizontal="center"/>
      <protection/>
    </xf>
    <xf numFmtId="0" fontId="81" fillId="0" borderId="192" xfId="0" applyNumberFormat="1" applyFont="1" applyFill="1" applyBorder="1" applyAlignment="1" applyProtection="1">
      <alignment horizontal="left" vertical="top" wrapText="1"/>
      <protection/>
    </xf>
    <xf numFmtId="0" fontId="81" fillId="0" borderId="193" xfId="0" applyNumberFormat="1" applyFont="1" applyFill="1" applyBorder="1" applyAlignment="1" applyProtection="1">
      <alignment horizontal="left" vertical="top" wrapText="1"/>
      <protection/>
    </xf>
    <xf numFmtId="0" fontId="81" fillId="0" borderId="194" xfId="0" applyNumberFormat="1" applyFont="1" applyFill="1" applyBorder="1" applyAlignment="1" applyProtection="1">
      <alignment horizontal="left" vertical="top" wrapText="1"/>
      <protection/>
    </xf>
    <xf numFmtId="0" fontId="81" fillId="0" borderId="195" xfId="0" applyNumberFormat="1" applyFont="1" applyFill="1" applyBorder="1" applyAlignment="1" applyProtection="1">
      <alignment horizontal="left" vertical="top" wrapText="1"/>
      <protection/>
    </xf>
    <xf numFmtId="49" fontId="2" fillId="42" borderId="196" xfId="0" applyNumberFormat="1" applyFont="1" applyFill="1" applyBorder="1" applyAlignment="1" applyProtection="1">
      <alignment horizontal="center" vertical="center"/>
      <protection locked="0"/>
    </xf>
    <xf numFmtId="49" fontId="2" fillId="42" borderId="197" xfId="0" applyNumberFormat="1" applyFont="1" applyFill="1" applyBorder="1" applyAlignment="1" applyProtection="1">
      <alignment horizontal="center" vertical="center"/>
      <protection locked="0"/>
    </xf>
    <xf numFmtId="49" fontId="2" fillId="42" borderId="198" xfId="0" applyNumberFormat="1" applyFont="1" applyFill="1" applyBorder="1" applyAlignment="1" applyProtection="1">
      <alignment horizontal="center" vertical="center"/>
      <protection locked="0"/>
    </xf>
    <xf numFmtId="9" fontId="2" fillId="0" borderId="199" xfId="110" applyNumberFormat="1" applyFont="1" applyFill="1" applyBorder="1" applyAlignment="1" applyProtection="1">
      <alignment horizontal="left" vertical="center" wrapText="1"/>
      <protection/>
    </xf>
    <xf numFmtId="0" fontId="2" fillId="0" borderId="188" xfId="110" applyNumberFormat="1" applyFont="1" applyFill="1" applyBorder="1" applyAlignment="1" applyProtection="1">
      <alignment horizontal="left" vertical="center" wrapText="1"/>
      <protection/>
    </xf>
    <xf numFmtId="0" fontId="2" fillId="0" borderId="200" xfId="110" applyNumberFormat="1" applyFont="1" applyFill="1" applyBorder="1" applyAlignment="1" applyProtection="1">
      <alignment horizontal="left" vertical="center" wrapText="1"/>
      <protection/>
    </xf>
    <xf numFmtId="0" fontId="2" fillId="40" borderId="201" xfId="0" applyFont="1" applyFill="1" applyBorder="1" applyAlignment="1" applyProtection="1">
      <alignment horizontal="center" vertical="top" wrapText="1"/>
      <protection locked="0"/>
    </xf>
    <xf numFmtId="0" fontId="2" fillId="40" borderId="202" xfId="0" applyFont="1" applyFill="1" applyBorder="1" applyAlignment="1" applyProtection="1">
      <alignment horizontal="center" vertical="top" wrapText="1"/>
      <protection locked="0"/>
    </xf>
    <xf numFmtId="0" fontId="2" fillId="40" borderId="203" xfId="0" applyFont="1" applyFill="1" applyBorder="1" applyAlignment="1" applyProtection="1">
      <alignment horizontal="center" vertical="top" wrapText="1"/>
      <protection locked="0"/>
    </xf>
    <xf numFmtId="0" fontId="81" fillId="0" borderId="204" xfId="0" applyNumberFormat="1" applyFont="1" applyFill="1" applyBorder="1" applyAlignment="1" applyProtection="1">
      <alignment horizontal="left" vertical="top" wrapText="1"/>
      <protection/>
    </xf>
    <xf numFmtId="0" fontId="104" fillId="13" borderId="205" xfId="0" applyFont="1" applyFill="1" applyBorder="1" applyAlignment="1" applyProtection="1">
      <alignment horizontal="center" vertical="center"/>
      <protection/>
    </xf>
    <xf numFmtId="0" fontId="104" fillId="13" borderId="206" xfId="0" applyFont="1" applyFill="1" applyBorder="1" applyAlignment="1" applyProtection="1">
      <alignment horizontal="center" vertical="center"/>
      <protection/>
    </xf>
    <xf numFmtId="0" fontId="0" fillId="0" borderId="206" xfId="0" applyBorder="1" applyAlignment="1">
      <alignment horizontal="center" vertical="center"/>
    </xf>
    <xf numFmtId="0" fontId="104" fillId="13" borderId="207" xfId="0" applyFont="1" applyFill="1" applyBorder="1" applyAlignment="1" applyProtection="1">
      <alignment horizontal="center" vertical="center"/>
      <protection/>
    </xf>
    <xf numFmtId="0" fontId="104" fillId="13" borderId="208" xfId="0" applyFont="1" applyFill="1" applyBorder="1" applyAlignment="1" applyProtection="1">
      <alignment horizontal="center" vertical="center"/>
      <protection/>
    </xf>
    <xf numFmtId="0" fontId="104" fillId="13" borderId="209" xfId="0" applyFont="1" applyFill="1" applyBorder="1" applyAlignment="1" applyProtection="1">
      <alignment horizontal="center" vertical="center"/>
      <protection/>
    </xf>
    <xf numFmtId="0" fontId="81" fillId="0" borderId="210" xfId="0" applyNumberFormat="1" applyFont="1" applyFill="1" applyBorder="1" applyAlignment="1" applyProtection="1">
      <alignment horizontal="left" vertical="top" wrapText="1"/>
      <protection/>
    </xf>
    <xf numFmtId="0" fontId="81" fillId="0" borderId="211" xfId="0" applyNumberFormat="1" applyFont="1" applyFill="1" applyBorder="1" applyAlignment="1" applyProtection="1">
      <alignment horizontal="left" vertical="top" wrapText="1"/>
      <protection/>
    </xf>
    <xf numFmtId="0" fontId="2" fillId="0" borderId="199" xfId="110" applyNumberFormat="1" applyFont="1" applyFill="1" applyBorder="1" applyAlignment="1" applyProtection="1">
      <alignment horizontal="left" vertical="center" wrapText="1"/>
      <protection/>
    </xf>
    <xf numFmtId="0" fontId="81" fillId="0" borderId="212" xfId="0" applyNumberFormat="1" applyFont="1" applyFill="1" applyBorder="1" applyAlignment="1" applyProtection="1">
      <alignment horizontal="left" vertical="top" wrapText="1"/>
      <protection/>
    </xf>
    <xf numFmtId="0" fontId="81" fillId="0" borderId="213" xfId="0" applyNumberFormat="1" applyFont="1" applyFill="1" applyBorder="1" applyAlignment="1" applyProtection="1">
      <alignment horizontal="left" vertical="top" wrapText="1"/>
      <protection/>
    </xf>
    <xf numFmtId="0" fontId="63" fillId="12" borderId="214" xfId="0" applyFont="1" applyFill="1" applyBorder="1" applyAlignment="1" applyProtection="1">
      <alignment horizontal="center" vertical="center"/>
      <protection/>
    </xf>
    <xf numFmtId="0" fontId="63" fillId="12" borderId="215" xfId="0" applyFont="1" applyFill="1" applyBorder="1" applyAlignment="1" applyProtection="1">
      <alignment horizontal="center" vertical="center"/>
      <protection/>
    </xf>
    <xf numFmtId="0" fontId="63" fillId="12" borderId="216" xfId="0" applyFont="1" applyFill="1" applyBorder="1" applyAlignment="1" applyProtection="1">
      <alignment horizontal="center" vertical="center"/>
      <protection/>
    </xf>
    <xf numFmtId="0" fontId="81" fillId="0" borderId="217" xfId="0" applyNumberFormat="1" applyFont="1" applyFill="1" applyBorder="1" applyAlignment="1" applyProtection="1">
      <alignment horizontal="left" vertical="center" wrapText="1"/>
      <protection/>
    </xf>
    <xf numFmtId="0" fontId="81" fillId="0" borderId="218" xfId="0" applyNumberFormat="1" applyFont="1" applyFill="1" applyBorder="1" applyAlignment="1" applyProtection="1">
      <alignment horizontal="left" vertical="center" wrapText="1"/>
      <protection/>
    </xf>
    <xf numFmtId="0" fontId="81" fillId="0" borderId="219" xfId="0" applyNumberFormat="1" applyFont="1" applyFill="1" applyBorder="1" applyAlignment="1" applyProtection="1">
      <alignment horizontal="left" vertical="center" wrapText="1"/>
      <protection/>
    </xf>
    <xf numFmtId="0" fontId="0" fillId="12" borderId="118" xfId="0" applyFill="1" applyBorder="1" applyAlignment="1" applyProtection="1">
      <alignment horizontal="center"/>
      <protection locked="0"/>
    </xf>
    <xf numFmtId="0" fontId="0" fillId="12" borderId="119" xfId="0" applyFill="1" applyBorder="1" applyAlignment="1" applyProtection="1">
      <alignment horizontal="center"/>
      <protection locked="0"/>
    </xf>
    <xf numFmtId="0" fontId="0" fillId="12" borderId="120" xfId="0" applyFill="1" applyBorder="1" applyAlignment="1" applyProtection="1">
      <alignment horizontal="center"/>
      <protection locked="0"/>
    </xf>
    <xf numFmtId="0" fontId="0" fillId="12" borderId="78" xfId="0" applyFill="1" applyBorder="1" applyAlignment="1" applyProtection="1">
      <alignment horizontal="center"/>
      <protection locked="0"/>
    </xf>
    <xf numFmtId="0" fontId="0" fillId="12" borderId="77" xfId="0" applyFill="1" applyBorder="1" applyAlignment="1" applyProtection="1">
      <alignment horizontal="center"/>
      <protection locked="0"/>
    </xf>
    <xf numFmtId="0" fontId="0" fillId="12" borderId="79" xfId="0" applyFill="1" applyBorder="1" applyAlignment="1" applyProtection="1">
      <alignment horizontal="center"/>
      <protection locked="0"/>
    </xf>
    <xf numFmtId="0" fontId="78" fillId="8" borderId="15" xfId="106" applyNumberFormat="1" applyFont="1" applyFill="1" applyBorder="1" applyAlignment="1">
      <alignment horizontal="center" vertical="center" wrapText="1"/>
      <protection/>
    </xf>
    <xf numFmtId="0" fontId="78" fillId="8" borderId="220" xfId="106" applyNumberFormat="1" applyFont="1" applyFill="1" applyBorder="1" applyAlignment="1">
      <alignment horizontal="center" vertical="center" wrapText="1"/>
      <protection/>
    </xf>
    <xf numFmtId="0" fontId="24" fillId="0" borderId="188" xfId="0" applyFont="1" applyFill="1" applyBorder="1" applyAlignment="1" applyProtection="1">
      <alignment horizontal="left" vertical="center" wrapText="1"/>
      <protection locked="0"/>
    </xf>
    <xf numFmtId="0" fontId="24" fillId="0" borderId="221" xfId="0" applyFont="1" applyFill="1" applyBorder="1" applyAlignment="1" applyProtection="1">
      <alignment horizontal="left" vertical="center" wrapText="1"/>
      <protection locked="0"/>
    </xf>
    <xf numFmtId="0" fontId="24" fillId="0" borderId="222" xfId="0" applyFont="1" applyFill="1" applyBorder="1" applyAlignment="1" applyProtection="1">
      <alignment horizontal="left" vertical="center" wrapText="1"/>
      <protection locked="0"/>
    </xf>
    <xf numFmtId="0" fontId="24" fillId="0" borderId="223" xfId="0" applyFont="1" applyFill="1" applyBorder="1" applyAlignment="1" applyProtection="1">
      <alignment horizontal="left" vertical="center" wrapText="1"/>
      <protection locked="0"/>
    </xf>
    <xf numFmtId="0" fontId="24" fillId="0" borderId="224" xfId="0" applyFont="1" applyBorder="1" applyAlignment="1" applyProtection="1">
      <alignment horizontal="left"/>
      <protection locked="0"/>
    </xf>
    <xf numFmtId="0" fontId="24" fillId="0" borderId="33" xfId="0" applyFont="1" applyBorder="1" applyAlignment="1" applyProtection="1">
      <alignment horizontal="left"/>
      <protection locked="0"/>
    </xf>
    <xf numFmtId="0" fontId="24" fillId="0" borderId="225" xfId="0" applyFont="1" applyBorder="1" applyAlignment="1" applyProtection="1">
      <alignment horizontal="left"/>
      <protection locked="0"/>
    </xf>
    <xf numFmtId="0" fontId="24" fillId="0" borderId="226" xfId="0" applyFont="1" applyBorder="1" applyAlignment="1" applyProtection="1">
      <alignment horizontal="left"/>
      <protection locked="0"/>
    </xf>
    <xf numFmtId="0" fontId="24" fillId="0" borderId="226" xfId="0" applyFont="1" applyFill="1" applyBorder="1" applyAlignment="1" applyProtection="1">
      <alignment horizontal="left"/>
      <protection locked="0"/>
    </xf>
    <xf numFmtId="0" fontId="24" fillId="0" borderId="227" xfId="0" applyFont="1" applyFill="1" applyBorder="1" applyAlignment="1" applyProtection="1">
      <alignment horizontal="left"/>
      <protection locked="0"/>
    </xf>
    <xf numFmtId="0" fontId="24" fillId="0" borderId="228" xfId="0" applyFont="1" applyFill="1" applyBorder="1" applyAlignment="1" applyProtection="1">
      <alignment horizontal="left" vertical="top" wrapText="1"/>
      <protection locked="0"/>
    </xf>
    <xf numFmtId="0" fontId="24" fillId="0" borderId="229" xfId="0" applyFont="1" applyFill="1" applyBorder="1" applyAlignment="1" applyProtection="1">
      <alignment horizontal="left" vertical="top" wrapText="1"/>
      <protection locked="0"/>
    </xf>
    <xf numFmtId="0" fontId="24" fillId="0" borderId="230" xfId="0" applyFont="1" applyFill="1" applyBorder="1" applyAlignment="1" applyProtection="1">
      <alignment horizontal="left" vertical="top" wrapText="1"/>
      <protection locked="0"/>
    </xf>
    <xf numFmtId="0" fontId="24" fillId="0" borderId="231" xfId="0" applyFont="1" applyFill="1" applyBorder="1" applyAlignment="1" applyProtection="1">
      <alignment horizontal="left" vertical="top" wrapText="1"/>
      <protection locked="0"/>
    </xf>
    <xf numFmtId="0" fontId="24" fillId="0" borderId="197" xfId="0" applyFont="1" applyFill="1" applyBorder="1" applyAlignment="1" applyProtection="1">
      <alignment horizontal="left" vertical="top" wrapText="1"/>
      <protection locked="0"/>
    </xf>
    <xf numFmtId="0" fontId="24" fillId="0" borderId="232" xfId="0" applyFont="1" applyFill="1" applyBorder="1" applyAlignment="1" applyProtection="1">
      <alignment horizontal="left" vertical="top" wrapText="1"/>
      <protection locked="0"/>
    </xf>
    <xf numFmtId="0" fontId="78" fillId="8" borderId="233" xfId="106" applyNumberFormat="1" applyFont="1" applyFill="1" applyBorder="1" applyAlignment="1">
      <alignment horizontal="center" vertical="center" wrapText="1"/>
      <protection/>
    </xf>
    <xf numFmtId="0" fontId="91" fillId="8" borderId="234" xfId="0" applyFont="1" applyFill="1" applyBorder="1" applyAlignment="1">
      <alignment horizontal="center" vertical="center" textRotation="90"/>
    </xf>
    <xf numFmtId="0" fontId="0" fillId="8" borderId="65" xfId="0" applyFill="1" applyBorder="1" applyAlignment="1">
      <alignment horizontal="center" vertical="center" textRotation="90"/>
    </xf>
    <xf numFmtId="0" fontId="0" fillId="8" borderId="111" xfId="0" applyFill="1" applyBorder="1" applyAlignment="1">
      <alignment horizontal="center" vertical="center" textRotation="90"/>
    </xf>
    <xf numFmtId="0" fontId="24" fillId="0" borderId="225" xfId="0" applyFont="1" applyFill="1" applyBorder="1" applyAlignment="1" applyProtection="1">
      <alignment horizontal="left"/>
      <protection locked="0"/>
    </xf>
    <xf numFmtId="0" fontId="37" fillId="0" borderId="0" xfId="0" applyFont="1" applyAlignment="1">
      <alignment horizontal="center"/>
    </xf>
    <xf numFmtId="0" fontId="78" fillId="8" borderId="235" xfId="106" applyNumberFormat="1" applyFont="1" applyFill="1" applyBorder="1" applyAlignment="1">
      <alignment horizontal="center" vertical="center" wrapText="1"/>
      <protection/>
    </xf>
    <xf numFmtId="0" fontId="78" fillId="8" borderId="236" xfId="106" applyNumberFormat="1" applyFont="1" applyFill="1" applyBorder="1" applyAlignment="1">
      <alignment horizontal="center" vertical="center" wrapText="1"/>
      <protection/>
    </xf>
    <xf numFmtId="0" fontId="78" fillId="8" borderId="237" xfId="106" applyNumberFormat="1" applyFont="1" applyFill="1" applyBorder="1" applyAlignment="1">
      <alignment horizontal="center" vertical="center" wrapText="1"/>
      <protection/>
    </xf>
    <xf numFmtId="0" fontId="24" fillId="0" borderId="238" xfId="0" applyFont="1" applyFill="1" applyBorder="1" applyAlignment="1" applyProtection="1">
      <alignment horizontal="left"/>
      <protection locked="0"/>
    </xf>
    <xf numFmtId="0" fontId="24" fillId="0" borderId="239" xfId="0" applyFont="1" applyFill="1" applyBorder="1" applyAlignment="1" applyProtection="1">
      <alignment horizontal="left"/>
      <protection locked="0"/>
    </xf>
    <xf numFmtId="0" fontId="24" fillId="0" borderId="240" xfId="0" applyFont="1" applyFill="1" applyBorder="1" applyAlignment="1" applyProtection="1">
      <alignment horizontal="left" vertical="top" wrapText="1"/>
      <protection locked="0"/>
    </xf>
    <xf numFmtId="0" fontId="24" fillId="0" borderId="241" xfId="0" applyFont="1" applyFill="1" applyBorder="1" applyAlignment="1" applyProtection="1">
      <alignment horizontal="left" vertical="top" wrapText="1"/>
      <protection locked="0"/>
    </xf>
    <xf numFmtId="0" fontId="24" fillId="0" borderId="242" xfId="0" applyFont="1" applyFill="1" applyBorder="1" applyAlignment="1" applyProtection="1">
      <alignment horizontal="left" vertical="top" wrapText="1"/>
      <protection locked="0"/>
    </xf>
    <xf numFmtId="0" fontId="24" fillId="0" borderId="243" xfId="0" applyFont="1" applyFill="1" applyBorder="1" applyAlignment="1" applyProtection="1">
      <alignment horizontal="left" vertical="top" wrapText="1"/>
      <protection locked="0"/>
    </xf>
    <xf numFmtId="0" fontId="24" fillId="0" borderId="244" xfId="0" applyFont="1" applyFill="1" applyBorder="1" applyAlignment="1" applyProtection="1">
      <alignment horizontal="left"/>
      <protection locked="0"/>
    </xf>
    <xf numFmtId="0" fontId="24" fillId="0" borderId="188" xfId="0" applyFont="1" applyFill="1" applyBorder="1" applyAlignment="1" applyProtection="1">
      <alignment horizontal="left"/>
      <protection locked="0"/>
    </xf>
    <xf numFmtId="0" fontId="24" fillId="0" borderId="221" xfId="0" applyFont="1" applyFill="1" applyBorder="1" applyAlignment="1" applyProtection="1">
      <alignment horizontal="left"/>
      <protection locked="0"/>
    </xf>
    <xf numFmtId="0" fontId="24" fillId="0" borderId="245" xfId="0" applyFont="1" applyFill="1" applyBorder="1" applyAlignment="1" applyProtection="1">
      <alignment horizontal="left"/>
      <protection locked="0"/>
    </xf>
    <xf numFmtId="0" fontId="24" fillId="0" borderId="222" xfId="0" applyFont="1" applyFill="1" applyBorder="1" applyAlignment="1" applyProtection="1">
      <alignment horizontal="left"/>
      <protection locked="0"/>
    </xf>
    <xf numFmtId="0" fontId="24" fillId="0" borderId="223" xfId="0" applyFont="1" applyFill="1" applyBorder="1" applyAlignment="1" applyProtection="1">
      <alignment horizontal="left"/>
      <protection locked="0"/>
    </xf>
    <xf numFmtId="0" fontId="24" fillId="0" borderId="238" xfId="0" applyFont="1" applyBorder="1" applyAlignment="1" applyProtection="1">
      <alignment horizontal="left"/>
      <protection locked="0"/>
    </xf>
    <xf numFmtId="0" fontId="24" fillId="0" borderId="239" xfId="0" applyFont="1" applyBorder="1" applyAlignment="1" applyProtection="1">
      <alignment horizontal="left"/>
      <protection locked="0"/>
    </xf>
    <xf numFmtId="0" fontId="24" fillId="0" borderId="33" xfId="0" applyFont="1" applyFill="1" applyBorder="1" applyAlignment="1" applyProtection="1">
      <alignment horizontal="left"/>
      <protection locked="0"/>
    </xf>
    <xf numFmtId="0" fontId="24" fillId="0" borderId="224" xfId="0" applyFont="1" applyFill="1" applyBorder="1" applyAlignment="1" applyProtection="1">
      <alignment horizontal="left"/>
      <protection locked="0"/>
    </xf>
    <xf numFmtId="43" fontId="18" fillId="36" borderId="0" xfId="129" applyFont="1" applyFill="1" applyBorder="1" applyAlignment="1" applyProtection="1">
      <alignment horizontal="center"/>
      <protection locked="0"/>
    </xf>
    <xf numFmtId="0" fontId="24" fillId="0" borderId="246" xfId="0" applyFont="1" applyFill="1" applyBorder="1" applyAlignment="1" applyProtection="1">
      <alignment horizontal="left"/>
      <protection locked="0"/>
    </xf>
    <xf numFmtId="0" fontId="24" fillId="0" borderId="227" xfId="0" applyFont="1" applyBorder="1" applyAlignment="1" applyProtection="1">
      <alignment horizontal="left"/>
      <protection locked="0"/>
    </xf>
    <xf numFmtId="0" fontId="24" fillId="0" borderId="247" xfId="0" applyFont="1" applyBorder="1" applyAlignment="1" applyProtection="1">
      <alignment horizontal="left"/>
      <protection locked="0"/>
    </xf>
    <xf numFmtId="0" fontId="24" fillId="0" borderId="246" xfId="0" applyFont="1" applyBorder="1" applyAlignment="1" applyProtection="1">
      <alignment horizontal="left"/>
      <protection locked="0"/>
    </xf>
    <xf numFmtId="0" fontId="24" fillId="0" borderId="247" xfId="0" applyFont="1" applyFill="1" applyBorder="1" applyAlignment="1" applyProtection="1">
      <alignment horizontal="left"/>
      <protection locked="0"/>
    </xf>
    <xf numFmtId="43" fontId="20" fillId="26" borderId="0" xfId="90" applyFont="1" applyFill="1" applyAlignment="1">
      <alignment horizontal="center" vertical="center"/>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correcto" xfId="85"/>
    <cellStyle name="Input" xfId="86"/>
    <cellStyle name="Linked Cell" xfId="87"/>
    <cellStyle name="Millares 2" xfId="88"/>
    <cellStyle name="Neutral" xfId="89"/>
    <cellStyle name="Normal 2" xfId="90"/>
    <cellStyle name="Normal 2 2" xfId="91"/>
    <cellStyle name="Normal 2 3" xfId="92"/>
    <cellStyle name="Normal 2 4" xfId="93"/>
    <cellStyle name="Normal 2 5" xfId="94"/>
    <cellStyle name="Normal 2 6" xfId="95"/>
    <cellStyle name="Normal 2 7" xfId="96"/>
    <cellStyle name="Normal 2 8" xfId="97"/>
    <cellStyle name="Normal 2_Dashboard ver 2.2 ES"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orcentual 2" xfId="111"/>
    <cellStyle name="Porcentual 3" xfId="112"/>
    <cellStyle name="Porcentual 4" xfId="113"/>
    <cellStyle name="Porcentual 5" xfId="114"/>
    <cellStyle name="Porcentual 6" xfId="115"/>
    <cellStyle name="Porcentual 7" xfId="116"/>
    <cellStyle name="Porcentual 8" xfId="117"/>
    <cellStyle name="Salida" xfId="118"/>
    <cellStyle name="Texto de advertencia" xfId="119"/>
    <cellStyle name="Texto explicativo" xfId="120"/>
    <cellStyle name="Title" xfId="121"/>
    <cellStyle name="Título" xfId="122"/>
    <cellStyle name="Título 1" xfId="123"/>
    <cellStyle name="Título 2" xfId="124"/>
    <cellStyle name="Título 3" xfId="125"/>
    <cellStyle name="Título 3 2" xfId="126"/>
    <cellStyle name="Título 3 3" xfId="127"/>
    <cellStyle name="Título 3 3_Prototipo" xfId="128"/>
    <cellStyle name="Título 3 3_PrototipoRep1" xfId="129"/>
    <cellStyle name="Título 3 4" xfId="130"/>
    <cellStyle name="Título 3 5" xfId="131"/>
    <cellStyle name="Título 3 6" xfId="132"/>
    <cellStyle name="Título 3 7" xfId="133"/>
    <cellStyle name="Título 3 8" xfId="134"/>
    <cellStyle name="Total" xfId="135"/>
    <cellStyle name="Warning Text" xfId="136"/>
  </cellStyles>
  <dxfs count="65">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8"/>
        </patternFill>
      </fill>
    </dxf>
    <dxf>
      <font>
        <color indexed="9"/>
      </font>
      <fill>
        <patternFill>
          <bgColor indexed="8"/>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xmlMaps" Target="xmlMap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
          <c:w val="0.9665"/>
          <c:h val="0.7962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0">
                  <c:v>6327435.526216391</c:v>
                </c:pt>
                <c:pt idx="1">
                  <c:v>6327435.526216391</c:v>
                </c:pt>
                <c:pt idx="2">
                  <c:v>6327435.526216391</c:v>
                </c:pt>
                <c:pt idx="3">
                  <c:v>6327435.526216391</c:v>
                </c:pt>
                <c:pt idx="4">
                  <c:v>6327435.526216391</c:v>
                </c:pt>
                <c:pt idx="5">
                  <c:v>6327435.526216391</c:v>
                </c:pt>
                <c:pt idx="6">
                  <c:v>6327435.526216391</c:v>
                </c:pt>
                <c:pt idx="7">
                  <c:v>6327435.526216391</c:v>
                </c:pt>
                <c:pt idx="8">
                  <c:v>6327435.526216391</c:v>
                </c:pt>
                <c:pt idx="9">
                  <c:v>6327435.526216391</c:v>
                </c:pt>
                <c:pt idx="10">
                  <c:v>6327435.526216391</c:v>
                </c:pt>
                <c:pt idx="11">
                  <c:v>6327435.526216391</c:v>
                </c:pt>
              </c:numCache>
            </c:numRef>
          </c:val>
        </c:ser>
        <c:ser>
          <c:idx val="1"/>
          <c:order val="1"/>
          <c:tx>
            <c:strRef>
              <c:f>'Data Entry'!$B$34</c:f>
              <c:strCache>
                <c:ptCount val="1"/>
                <c:pt idx="0">
                  <c:v>Cumulative disbursements</c:v>
                </c:pt>
              </c:strCache>
            </c:strRef>
          </c:tx>
          <c:spPr>
            <a:solidFill>
              <a:srgbClr val="99CC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0">
                  <c:v>7842426.373705249</c:v>
                </c:pt>
                <c:pt idx="1">
                  <c:v>7842426.373705249</c:v>
                </c:pt>
                <c:pt idx="2">
                  <c:v>7842426.373705249</c:v>
                </c:pt>
                <c:pt idx="3">
                  <c:v>7842426.373705249</c:v>
                </c:pt>
                <c:pt idx="4">
                  <c:v>7842426.373705249</c:v>
                </c:pt>
                <c:pt idx="5">
                  <c:v>7842426.373705249</c:v>
                </c:pt>
                <c:pt idx="6">
                  <c:v>7842426.373705249</c:v>
                </c:pt>
                <c:pt idx="7">
                  <c:v>7842426.373705249</c:v>
                </c:pt>
                <c:pt idx="8">
                  <c:v>7842426.373705249</c:v>
                </c:pt>
                <c:pt idx="9">
                  <c:v>7842426.373705249</c:v>
                </c:pt>
                <c:pt idx="10">
                  <c:v>7842426.373705249</c:v>
                </c:pt>
                <c:pt idx="11">
                  <c:v>7842426.373705249</c:v>
                </c:pt>
              </c:numCache>
            </c:numRef>
          </c:val>
        </c:ser>
        <c:gapWidth val="70"/>
        <c:axId val="23710037"/>
        <c:axId val="12063742"/>
      </c:barChart>
      <c:catAx>
        <c:axId val="23710037"/>
        <c:scaling>
          <c:orientation val="minMax"/>
        </c:scaling>
        <c:axPos val="b"/>
        <c:title>
          <c:tx>
            <c:rich>
              <a:bodyPr vert="horz" rot="0" anchor="ctr"/>
              <a:lstStyle/>
              <a:p>
                <a:pPr algn="ctr">
                  <a:defRPr/>
                </a:pPr>
                <a:r>
                  <a:rPr lang="en-US" cap="none" sz="800" b="1" i="0" u="none" baseline="0">
                    <a:solidFill>
                      <a:srgbClr val="000000"/>
                    </a:solidFill>
                  </a:rPr>
                  <a:t>Reporting Period</a:t>
                </a:r>
              </a:p>
            </c:rich>
          </c:tx>
          <c:layout>
            <c:manualLayout>
              <c:xMode val="factor"/>
              <c:yMode val="factor"/>
              <c:x val="-0.0072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12063742"/>
        <c:crosses val="autoZero"/>
        <c:auto val="1"/>
        <c:lblOffset val="100"/>
        <c:tickLblSkip val="1"/>
        <c:noMultiLvlLbl val="0"/>
      </c:catAx>
      <c:valAx>
        <c:axId val="1206374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3710037"/>
        <c:crossesAt val="1"/>
        <c:crossBetween val="between"/>
        <c:dispUnits/>
      </c:valAx>
      <c:spPr>
        <a:solidFill>
          <a:srgbClr val="FFFFFF"/>
        </a:solidFill>
        <a:ln w="3175">
          <a:solidFill>
            <a:srgbClr val="000000"/>
          </a:solidFill>
        </a:ln>
      </c:spPr>
    </c:plotArea>
    <c:legend>
      <c:legendPos val="r"/>
      <c:layout>
        <c:manualLayout>
          <c:xMode val="edge"/>
          <c:yMode val="edge"/>
          <c:x val="0.134"/>
          <c:y val="0.8955"/>
          <c:w val="0.866"/>
          <c:h val="0.104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325"/>
          <c:w val="0.96025"/>
          <c:h val="0.8395"/>
        </c:manualLayout>
      </c:layout>
      <c:barChart>
        <c:barDir val="col"/>
        <c:grouping val="clustered"/>
        <c:varyColors val="0"/>
        <c:ser>
          <c:idx val="0"/>
          <c:order val="0"/>
          <c:tx>
            <c:strRef>
              <c:f>'Data Entry'!$G$126</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Entry'!$H$126:$S$126</c:f>
              <c:numCache>
                <c:ptCount val="12"/>
                <c:pt idx="0">
                  <c:v>767363</c:v>
                </c:pt>
                <c:pt idx="11">
                  <c:v>767363</c:v>
                </c:pt>
              </c:numCache>
            </c:numRef>
          </c:val>
        </c:ser>
        <c:ser>
          <c:idx val="1"/>
          <c:order val="1"/>
          <c:tx>
            <c:strRef>
              <c:f>'Data Entry'!$G$127</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Entry'!$H$127:$S$127</c:f>
              <c:numCache>
                <c:ptCount val="12"/>
                <c:pt idx="0">
                  <c:v>546636</c:v>
                </c:pt>
                <c:pt idx="11">
                  <c:v>546636</c:v>
                </c:pt>
              </c:numCache>
            </c:numRef>
          </c:val>
        </c:ser>
        <c:axId val="8845561"/>
        <c:axId val="12501186"/>
      </c:barChart>
      <c:catAx>
        <c:axId val="884556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2501186"/>
        <c:crosses val="autoZero"/>
        <c:auto val="1"/>
        <c:lblOffset val="100"/>
        <c:tickLblSkip val="1"/>
        <c:noMultiLvlLbl val="0"/>
      </c:catAx>
      <c:valAx>
        <c:axId val="1250118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8845561"/>
        <c:crossesAt val="1"/>
        <c:crossBetween val="between"/>
        <c:dispUnits/>
      </c:valAx>
      <c:spPr>
        <a:noFill/>
        <a:ln>
          <a:noFill/>
        </a:ln>
      </c:spPr>
    </c:plotArea>
    <c:legend>
      <c:legendPos val="r"/>
      <c:layout>
        <c:manualLayout>
          <c:xMode val="edge"/>
          <c:yMode val="edge"/>
          <c:x val="0.169"/>
          <c:y val="0.9285"/>
          <c:w val="0.5935"/>
          <c:h val="0.071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32"/>
          <c:w val="0.9535"/>
          <c:h val="0.8577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Entry'!$H$122:$S$122</c:f>
              <c:numCache>
                <c:ptCount val="12"/>
                <c:pt idx="0">
                  <c:v>97889</c:v>
                </c:pt>
                <c:pt idx="11">
                  <c:v>97889</c:v>
                </c:pt>
              </c:numCache>
            </c:numRef>
          </c:val>
        </c:ser>
        <c:ser>
          <c:idx val="1"/>
          <c:order val="1"/>
          <c:tx>
            <c:strRef>
              <c:f>'Data Entry'!$G$123</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Entry'!$H$123:$S$123</c:f>
              <c:numCache>
                <c:ptCount val="12"/>
                <c:pt idx="0">
                  <c:v>95989</c:v>
                </c:pt>
                <c:pt idx="11">
                  <c:v>95989</c:v>
                </c:pt>
              </c:numCache>
            </c:numRef>
          </c:val>
        </c:ser>
        <c:axId val="45401811"/>
        <c:axId val="5963116"/>
      </c:barChart>
      <c:catAx>
        <c:axId val="4540181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963116"/>
        <c:crosses val="autoZero"/>
        <c:auto val="1"/>
        <c:lblOffset val="100"/>
        <c:tickLblSkip val="1"/>
        <c:noMultiLvlLbl val="0"/>
      </c:catAx>
      <c:valAx>
        <c:axId val="596311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5401811"/>
        <c:crossesAt val="1"/>
        <c:crossBetween val="between"/>
        <c:dispUnits/>
      </c:valAx>
      <c:spPr>
        <a:noFill/>
        <a:ln>
          <a:noFill/>
        </a:ln>
      </c:spPr>
    </c:plotArea>
    <c:legend>
      <c:legendPos val="r"/>
      <c:layout>
        <c:manualLayout>
          <c:xMode val="edge"/>
          <c:yMode val="edge"/>
          <c:x val="0.19575"/>
          <c:y val="0.92975"/>
          <c:w val="0.59775"/>
          <c:h val="0.0702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ptCount val="11"/>
                <c:pt idx="0">
                  <c:v>6327435.526216391</c:v>
                </c:pt>
                <c:pt idx="1">
                  <c:v>6327435.526216391</c:v>
                </c:pt>
                <c:pt idx="2">
                  <c:v>6327435.526216391</c:v>
                </c:pt>
                <c:pt idx="3">
                  <c:v>6327435.526216391</c:v>
                </c:pt>
                <c:pt idx="4">
                  <c:v>6327435.526216391</c:v>
                </c:pt>
                <c:pt idx="5">
                  <c:v>6327435.526216391</c:v>
                </c:pt>
                <c:pt idx="6">
                  <c:v>6327435.526216391</c:v>
                </c:pt>
                <c:pt idx="7">
                  <c:v>6327435.526216391</c:v>
                </c:pt>
                <c:pt idx="8">
                  <c:v>6327435.526216391</c:v>
                </c:pt>
                <c:pt idx="9">
                  <c:v>6327435.526216391</c:v>
                </c:pt>
                <c:pt idx="10">
                  <c:v>6327435.526216391</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ptCount val="11"/>
                <c:pt idx="0">
                  <c:v>7842426.373705249</c:v>
                </c:pt>
                <c:pt idx="1">
                  <c:v>7842426.373705249</c:v>
                </c:pt>
                <c:pt idx="2">
                  <c:v>7842426.373705249</c:v>
                </c:pt>
                <c:pt idx="3">
                  <c:v>7842426.373705249</c:v>
                </c:pt>
                <c:pt idx="4">
                  <c:v>7842426.373705249</c:v>
                </c:pt>
                <c:pt idx="5">
                  <c:v>7842426.373705249</c:v>
                </c:pt>
                <c:pt idx="6">
                  <c:v>7842426.373705249</c:v>
                </c:pt>
                <c:pt idx="7">
                  <c:v>7842426.373705249</c:v>
                </c:pt>
                <c:pt idx="8">
                  <c:v>7842426.373705249</c:v>
                </c:pt>
                <c:pt idx="9">
                  <c:v>7842426.373705249</c:v>
                </c:pt>
                <c:pt idx="10">
                  <c:v>7842426.373705249</c:v>
                </c:pt>
              </c:numCache>
            </c:numRef>
          </c:val>
        </c:ser>
        <c:dropLines>
          <c:spPr>
            <a:ln w="3175">
              <a:solidFill>
                <a:srgbClr val="000000"/>
              </a:solidFill>
            </a:ln>
          </c:spPr>
        </c:dropLines>
        <c:axId val="53668045"/>
        <c:axId val="13250358"/>
      </c:areaChart>
      <c:catAx>
        <c:axId val="5366804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13250358"/>
        <c:crosses val="autoZero"/>
        <c:auto val="1"/>
        <c:lblOffset val="100"/>
        <c:tickLblSkip val="8"/>
        <c:noMultiLvlLbl val="0"/>
      </c:catAx>
      <c:valAx>
        <c:axId val="13250358"/>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53668045"/>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0875"/>
          <c:w val="0.93125"/>
          <c:h val="0.89525"/>
        </c:manualLayout>
      </c:layout>
      <c:barChart>
        <c:barDir val="col"/>
        <c:grouping val="stacked"/>
        <c:varyColors val="0"/>
        <c:ser>
          <c:idx val="0"/>
          <c:order val="0"/>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Entry'!$B$56:$B$59</c:f>
              <c:strCache>
                <c:ptCount val="4"/>
                <c:pt idx="0">
                  <c:v>Disbursed by Global Fund</c:v>
                </c:pt>
                <c:pt idx="1">
                  <c:v>PR expenditure and disbursement</c:v>
                </c:pt>
                <c:pt idx="2">
                  <c:v>Disbursed to SRs</c:v>
                </c:pt>
                <c:pt idx="3">
                  <c:v>SR expenditures</c:v>
                </c:pt>
              </c:strCache>
            </c:strRef>
          </c:cat>
          <c:val>
            <c:numRef>
              <c:f>'Data Entry'!$C$56:$C$59</c:f>
              <c:numCache>
                <c:ptCount val="4"/>
                <c:pt idx="0">
                  <c:v>0</c:v>
                </c:pt>
                <c:pt idx="1">
                  <c:v>0</c:v>
                </c:pt>
                <c:pt idx="2">
                  <c:v>0</c:v>
                </c:pt>
                <c:pt idx="3">
                  <c:v>0</c:v>
                </c:pt>
              </c:numCache>
            </c:numRef>
          </c:val>
        </c:ser>
        <c:ser>
          <c:idx val="1"/>
          <c:order val="1"/>
          <c:spPr>
            <a:solidFill>
              <a:srgbClr val="CC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Entry'!$B$56:$B$59</c:f>
              <c:strCache>
                <c:ptCount val="4"/>
                <c:pt idx="0">
                  <c:v>Disbursed by Global Fund</c:v>
                </c:pt>
                <c:pt idx="1">
                  <c:v>PR expenditure and disbursement</c:v>
                </c:pt>
                <c:pt idx="2">
                  <c:v>Disbursed to SRs</c:v>
                </c:pt>
                <c:pt idx="3">
                  <c:v>SR expenditures</c:v>
                </c:pt>
              </c:strCache>
            </c:strRef>
          </c:cat>
          <c:val>
            <c:numRef>
              <c:f>'Data Entry'!$D$56:$D$59</c:f>
              <c:numCache>
                <c:ptCount val="4"/>
                <c:pt idx="0">
                  <c:v>7842426.373705249</c:v>
                </c:pt>
                <c:pt idx="1">
                  <c:v>4285341.93</c:v>
                </c:pt>
                <c:pt idx="3">
                  <c:v>0</c:v>
                </c:pt>
              </c:numCache>
            </c:numRef>
          </c:val>
        </c:ser>
        <c:overlap val="100"/>
        <c:axId val="41464815"/>
        <c:axId val="37639016"/>
      </c:barChart>
      <c:catAx>
        <c:axId val="41464815"/>
        <c:scaling>
          <c:orientation val="minMax"/>
        </c:scaling>
        <c:axPos val="b"/>
        <c:delete val="0"/>
        <c:numFmt formatCode="General" sourceLinked="1"/>
        <c:majorTickMark val="out"/>
        <c:minorTickMark val="none"/>
        <c:tickLblPos val="nextTo"/>
        <c:spPr>
          <a:ln w="3175">
            <a:solidFill>
              <a:srgbClr val="808080"/>
            </a:solidFill>
          </a:ln>
        </c:spPr>
        <c:crossAx val="37639016"/>
        <c:crossesAt val="0"/>
        <c:auto val="1"/>
        <c:lblOffset val="100"/>
        <c:tickLblSkip val="1"/>
        <c:noMultiLvlLbl val="0"/>
      </c:catAx>
      <c:valAx>
        <c:axId val="3763901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146481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625"/>
          <c:w val="0.9685"/>
          <c:h val="0.819"/>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Entry'!$B$39:$B$44</c:f>
              <c:strCache>
                <c:ptCount val="6"/>
                <c:pt idx="0">
                  <c:v>Prevention programs for general population</c:v>
                </c:pt>
                <c:pt idx="1">
                  <c:v>Prevention programs for sex workers and their clients</c:v>
                </c:pt>
                <c:pt idx="2">
                  <c:v>PMTCT</c:v>
                </c:pt>
                <c:pt idx="3">
                  <c:v>Treatment, care and support</c:v>
                </c:pt>
                <c:pt idx="4">
                  <c:v>TB/HIV</c:v>
                </c:pt>
                <c:pt idx="5">
                  <c:v>HSS - Procurement supply chain management (PSCM)</c:v>
                </c:pt>
              </c:strCache>
            </c:strRef>
          </c:cat>
          <c:val>
            <c:numRef>
              <c:f>'Data Entry'!$C$39:$C$44</c:f>
              <c:numCache>
                <c:ptCount val="6"/>
                <c:pt idx="0">
                  <c:v>78544.32152323308</c:v>
                </c:pt>
                <c:pt idx="1">
                  <c:v>0</c:v>
                </c:pt>
                <c:pt idx="2">
                  <c:v>269955.560107568</c:v>
                </c:pt>
                <c:pt idx="3">
                  <c:v>1891014.3258714115</c:v>
                </c:pt>
                <c:pt idx="4">
                  <c:v>114730.9544284643</c:v>
                </c:pt>
                <c:pt idx="5">
                  <c:v>3991.4285714285716</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Entry'!$B$39:$B$44</c:f>
              <c:strCache>
                <c:ptCount val="6"/>
                <c:pt idx="0">
                  <c:v>Prevention programs for general population</c:v>
                </c:pt>
                <c:pt idx="1">
                  <c:v>Prevention programs for sex workers and their clients</c:v>
                </c:pt>
                <c:pt idx="2">
                  <c:v>PMTCT</c:v>
                </c:pt>
                <c:pt idx="3">
                  <c:v>Treatment, care and support</c:v>
                </c:pt>
                <c:pt idx="4">
                  <c:v>TB/HIV</c:v>
                </c:pt>
                <c:pt idx="5">
                  <c:v>HSS - Procurement supply chain management (PSCM)</c:v>
                </c:pt>
              </c:strCache>
            </c:strRef>
          </c:cat>
          <c:val>
            <c:numRef>
              <c:f>'Data Entry'!$D$39:$D$44</c:f>
              <c:numCache>
                <c:ptCount val="6"/>
                <c:pt idx="0">
                  <c:v>76363.03499999997</c:v>
                </c:pt>
                <c:pt idx="2">
                  <c:v>726790.165</c:v>
                </c:pt>
                <c:pt idx="3">
                  <c:v>2930655.47</c:v>
                </c:pt>
              </c:numCache>
            </c:numRef>
          </c:val>
        </c:ser>
        <c:axId val="3206825"/>
        <c:axId val="28861426"/>
      </c:barChart>
      <c:catAx>
        <c:axId val="3206825"/>
        <c:scaling>
          <c:orientation val="minMax"/>
        </c:scaling>
        <c:axPos val="b"/>
        <c:delete val="0"/>
        <c:numFmt formatCode="General" sourceLinked="1"/>
        <c:majorTickMark val="out"/>
        <c:minorTickMark val="none"/>
        <c:tickLblPos val="nextTo"/>
        <c:spPr>
          <a:ln w="3175">
            <a:solidFill>
              <a:srgbClr val="000000"/>
            </a:solidFill>
          </a:ln>
        </c:spPr>
        <c:crossAx val="28861426"/>
        <c:crosses val="autoZero"/>
        <c:auto val="1"/>
        <c:lblOffset val="100"/>
        <c:tickLblSkip val="1"/>
        <c:noMultiLvlLbl val="0"/>
      </c:catAx>
      <c:valAx>
        <c:axId val="2886142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320682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600"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6875"/>
          <c:w val="0.99275"/>
          <c:h val="0.6955"/>
        </c:manualLayout>
      </c:layout>
      <c:barChart>
        <c:barDir val="bar"/>
        <c:grouping val="percentStacked"/>
        <c:varyColors val="0"/>
        <c:ser>
          <c:idx val="0"/>
          <c:order val="0"/>
          <c:tx>
            <c:strRef>
              <c:f>'Data Entry'!$C$82</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Entry'!$C$83</c:f>
              <c:numCache>
                <c:ptCount val="1"/>
              </c:numCache>
            </c:numRef>
          </c:val>
        </c:ser>
        <c:overlap val="100"/>
        <c:gapWidth val="79"/>
        <c:axId val="58426243"/>
        <c:axId val="56074140"/>
      </c:barChart>
      <c:barChart>
        <c:barDir val="bar"/>
        <c:grouping val="percentStacked"/>
        <c:varyColors val="0"/>
        <c:ser>
          <c:idx val="1"/>
          <c:order val="1"/>
          <c:tx>
            <c:strRef>
              <c:f>'Data Entry'!$D$82</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Entry'!$D$83</c:f>
              <c:numCache>
                <c:ptCount val="1"/>
              </c:numCache>
            </c:numRef>
          </c:val>
        </c:ser>
        <c:ser>
          <c:idx val="2"/>
          <c:order val="2"/>
          <c:tx>
            <c:strRef>
              <c:f>'Data Entry'!$E$82</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Entry'!$E$83</c:f>
              <c:numCache>
                <c:ptCount val="1"/>
                <c:pt idx="0">
                  <c:v>0</c:v>
                </c:pt>
              </c:numCache>
            </c:numRef>
          </c:val>
        </c:ser>
        <c:overlap val="100"/>
        <c:gapWidth val="191"/>
        <c:axId val="34905213"/>
        <c:axId val="45711462"/>
      </c:barChart>
      <c:catAx>
        <c:axId val="58426243"/>
        <c:scaling>
          <c:orientation val="minMax"/>
        </c:scaling>
        <c:axPos val="l"/>
        <c:delete val="1"/>
        <c:majorTickMark val="out"/>
        <c:minorTickMark val="none"/>
        <c:tickLblPos val="nextTo"/>
        <c:crossAx val="56074140"/>
        <c:crosses val="autoZero"/>
        <c:auto val="1"/>
        <c:lblOffset val="100"/>
        <c:tickLblSkip val="1"/>
        <c:noMultiLvlLbl val="0"/>
      </c:catAx>
      <c:valAx>
        <c:axId val="5607414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8426243"/>
        <c:crosses val="max"/>
        <c:crossBetween val="between"/>
        <c:dispUnits/>
      </c:valAx>
      <c:catAx>
        <c:axId val="34905213"/>
        <c:scaling>
          <c:orientation val="minMax"/>
        </c:scaling>
        <c:axPos val="l"/>
        <c:delete val="1"/>
        <c:majorTickMark val="out"/>
        <c:minorTickMark val="none"/>
        <c:tickLblPos val="nextTo"/>
        <c:crossAx val="45711462"/>
        <c:crosses val="autoZero"/>
        <c:auto val="0"/>
        <c:lblOffset val="100"/>
        <c:tickLblSkip val="1"/>
        <c:noMultiLvlLbl val="0"/>
      </c:catAx>
      <c:valAx>
        <c:axId val="45711462"/>
        <c:scaling>
          <c:orientation val="minMax"/>
        </c:scaling>
        <c:axPos val="b"/>
        <c:delete val="0"/>
        <c:numFmt formatCode="General" sourceLinked="1"/>
        <c:majorTickMark val="none"/>
        <c:minorTickMark val="none"/>
        <c:tickLblPos val="none"/>
        <c:spPr>
          <a:ln w="3175">
            <a:solidFill>
              <a:srgbClr val="000000"/>
            </a:solidFill>
          </a:ln>
        </c:spPr>
        <c:crossAx val="34905213"/>
        <c:crossesAt val="1"/>
        <c:crossBetween val="between"/>
        <c:dispUnits/>
      </c:valAx>
      <c:spPr>
        <a:solidFill>
          <a:srgbClr val="FFFFFF"/>
        </a:solidFill>
        <a:ln w="3175">
          <a:noFill/>
        </a:ln>
      </c:spPr>
    </c:plotArea>
    <c:legend>
      <c:legendPos val="r"/>
      <c:legendEntry>
        <c:idx val="1"/>
        <c:delete val="1"/>
      </c:legendEntry>
      <c:layout>
        <c:manualLayout>
          <c:xMode val="edge"/>
          <c:yMode val="edge"/>
          <c:x val="0.2895"/>
          <c:y val="0.8295"/>
          <c:w val="0.378"/>
          <c:h val="0.14725"/>
        </c:manualLayout>
      </c:layout>
      <c:overlay val="0"/>
      <c:spPr>
        <a:noFill/>
        <a:ln w="3175">
          <a:noFill/>
        </a:ln>
      </c:spPr>
      <c:txPr>
        <a:bodyPr vert="horz" rot="0"/>
        <a:lstStyle/>
        <a:p>
          <a:pPr>
            <a:defRPr lang="en-US" cap="none" sz="40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57"/>
          <c:w val="0.98325"/>
          <c:h val="0.75175"/>
        </c:manualLayout>
      </c:layout>
      <c:barChart>
        <c:barDir val="col"/>
        <c:grouping val="clustered"/>
        <c:varyColors val="0"/>
        <c:ser>
          <c:idx val="0"/>
          <c:order val="0"/>
          <c:tx>
            <c:strRef>
              <c:f>'Data Entry'!$C$87</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Entry'!$C$88</c:f>
              <c:numCache>
                <c:ptCount val="1"/>
              </c:numCache>
            </c:numRef>
          </c:val>
        </c:ser>
        <c:ser>
          <c:idx val="1"/>
          <c:order val="1"/>
          <c:tx>
            <c:strRef>
              <c:f>'Data Entry'!$D$87</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Entry'!$D$88</c:f>
              <c:numCache>
                <c:ptCount val="1"/>
              </c:numCache>
            </c:numRef>
          </c:val>
        </c:ser>
        <c:ser>
          <c:idx val="2"/>
          <c:order val="2"/>
          <c:tx>
            <c:strRef>
              <c:f>'Data Entry'!$E$87</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Entry'!$E$88</c:f>
              <c:numCache>
                <c:ptCount val="1"/>
              </c:numCache>
            </c:numRef>
          </c:val>
        </c:ser>
        <c:ser>
          <c:idx val="3"/>
          <c:order val="3"/>
          <c:tx>
            <c:strRef>
              <c:f>'Data Entry'!$F$87</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Entry'!$F$88</c:f>
              <c:numCache>
                <c:ptCount val="1"/>
              </c:numCache>
            </c:numRef>
          </c:val>
        </c:ser>
        <c:ser>
          <c:idx val="4"/>
          <c:order val="4"/>
          <c:tx>
            <c:strRef>
              <c:f>'Data Entry'!$G$87</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Entry'!$G$88</c:f>
              <c:numCache>
                <c:ptCount val="1"/>
              </c:numCache>
            </c:numRef>
          </c:val>
        </c:ser>
        <c:overlap val="-20"/>
        <c:axId val="8749975"/>
        <c:axId val="11640912"/>
      </c:barChart>
      <c:catAx>
        <c:axId val="8749975"/>
        <c:scaling>
          <c:orientation val="minMax"/>
        </c:scaling>
        <c:axPos val="b"/>
        <c:delete val="0"/>
        <c:numFmt formatCode="General" sourceLinked="1"/>
        <c:majorTickMark val="none"/>
        <c:minorTickMark val="none"/>
        <c:tickLblPos val="none"/>
        <c:spPr>
          <a:ln w="3175">
            <a:solidFill>
              <a:srgbClr val="000000"/>
            </a:solidFill>
          </a:ln>
        </c:spPr>
        <c:crossAx val="11640912"/>
        <c:crosses val="autoZero"/>
        <c:auto val="0"/>
        <c:lblOffset val="100"/>
        <c:tickLblSkip val="1"/>
        <c:noMultiLvlLbl val="0"/>
      </c:catAx>
      <c:valAx>
        <c:axId val="11640912"/>
        <c:scaling>
          <c:orientation val="minMax"/>
        </c:scaling>
        <c:axPos val="l"/>
        <c:delete val="0"/>
        <c:numFmt formatCode="General" sourceLinked="1"/>
        <c:majorTickMark val="out"/>
        <c:minorTickMark val="none"/>
        <c:tickLblPos val="nextTo"/>
        <c:spPr>
          <a:ln w="3175">
            <a:solidFill>
              <a:srgbClr val="000000"/>
            </a:solidFill>
          </a:ln>
        </c:spPr>
        <c:crossAx val="8749975"/>
        <c:crossesAt val="1"/>
        <c:crossBetween val="between"/>
        <c:dispUnits/>
      </c:valAx>
      <c:spPr>
        <a:noFill/>
        <a:ln>
          <a:noFill/>
        </a:ln>
      </c:spPr>
    </c:plotArea>
    <c:legend>
      <c:legendPos val="r"/>
      <c:layout>
        <c:manualLayout>
          <c:xMode val="edge"/>
          <c:yMode val="edge"/>
          <c:x val="0.072"/>
          <c:y val="0.8735"/>
          <c:w val="0.873"/>
          <c:h val="0.10925"/>
        </c:manualLayout>
      </c:layout>
      <c:overlay val="0"/>
      <c:spPr>
        <a:noFill/>
        <a:ln w="3175">
          <a:no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85"/>
        </c:manualLayout>
      </c:layout>
      <c:spPr>
        <a:noFill/>
        <a:ln w="3175">
          <a:noFill/>
        </a:ln>
      </c:spPr>
      <c:txPr>
        <a:bodyPr vert="horz" rot="0"/>
        <a:lstStyle/>
        <a:p>
          <a:pPr>
            <a:defRPr lang="en-US" cap="none" sz="660" b="0" i="0" u="none" baseline="0">
              <a:solidFill>
                <a:srgbClr val="000000"/>
              </a:solidFill>
            </a:defRPr>
          </a:pPr>
        </a:p>
      </c:txPr>
    </c:title>
    <c:plotArea>
      <c:layout>
        <c:manualLayout>
          <c:xMode val="edge"/>
          <c:yMode val="edge"/>
          <c:x val="0.03275"/>
          <c:y val="0.01725"/>
          <c:w val="0.94725"/>
          <c:h val="0.837"/>
        </c:manualLayout>
      </c:layout>
      <c:barChart>
        <c:barDir val="bar"/>
        <c:grouping val="percentStacked"/>
        <c:varyColors val="0"/>
        <c:ser>
          <c:idx val="0"/>
          <c:order val="0"/>
          <c:tx>
            <c:strRef>
              <c:f>'Data Entry'!$D$75</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Entry'!$B$76:$B$77</c:f>
              <c:strCache>
                <c:ptCount val="2"/>
                <c:pt idx="0">
                  <c:v>Conditions precedent (CPs)</c:v>
                </c:pt>
                <c:pt idx="1">
                  <c:v>Time Bound Actions (TBAs)</c:v>
                </c:pt>
              </c:strCache>
            </c:strRef>
          </c:cat>
          <c:val>
            <c:numRef>
              <c:f>'Data Entry'!$D$76:$D$77</c:f>
              <c:numCache>
                <c:ptCount val="2"/>
                <c:pt idx="0">
                  <c:v>12</c:v>
                </c:pt>
                <c:pt idx="1">
                  <c:v>12</c:v>
                </c:pt>
              </c:numCache>
            </c:numRef>
          </c:val>
        </c:ser>
        <c:ser>
          <c:idx val="1"/>
          <c:order val="1"/>
          <c:tx>
            <c:strRef>
              <c:f>'Data Entry'!$E$75</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Entry'!$B$76:$B$77</c:f>
              <c:strCache>
                <c:ptCount val="2"/>
                <c:pt idx="0">
                  <c:v>Conditions precedent (CPs)</c:v>
                </c:pt>
                <c:pt idx="1">
                  <c:v>Time Bound Actions (TBAs)</c:v>
                </c:pt>
              </c:strCache>
            </c:strRef>
          </c:cat>
          <c:val>
            <c:numRef>
              <c:f>'Data Entry'!$E$76:$E$77</c:f>
              <c:numCache>
                <c:ptCount val="2"/>
                <c:pt idx="0">
                  <c:v>0</c:v>
                </c:pt>
                <c:pt idx="1">
                  <c:v>0</c:v>
                </c:pt>
              </c:numCache>
            </c:numRef>
          </c:val>
        </c:ser>
        <c:ser>
          <c:idx val="2"/>
          <c:order val="2"/>
          <c:tx>
            <c:strRef>
              <c:f>'Data Entry'!$F$75</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Entry'!$B$76:$B$77</c:f>
              <c:strCache>
                <c:ptCount val="2"/>
                <c:pt idx="0">
                  <c:v>Conditions precedent (CPs)</c:v>
                </c:pt>
                <c:pt idx="1">
                  <c:v>Time Bound Actions (TBAs)</c:v>
                </c:pt>
              </c:strCache>
            </c:strRef>
          </c:cat>
          <c:val>
            <c:numRef>
              <c:f>'Data Entry'!$F$76:$F$77</c:f>
              <c:numCache>
                <c:ptCount val="2"/>
                <c:pt idx="0">
                  <c:v>0</c:v>
                </c:pt>
                <c:pt idx="1">
                  <c:v>0</c:v>
                </c:pt>
              </c:numCache>
            </c:numRef>
          </c:val>
        </c:ser>
        <c:overlap val="100"/>
        <c:gapWidth val="70"/>
        <c:axId val="37659345"/>
        <c:axId val="3389786"/>
      </c:barChart>
      <c:catAx>
        <c:axId val="376593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89786"/>
        <c:crosses val="autoZero"/>
        <c:auto val="1"/>
        <c:lblOffset val="100"/>
        <c:tickLblSkip val="1"/>
        <c:noMultiLvlLbl val="0"/>
      </c:catAx>
      <c:valAx>
        <c:axId val="33897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659345"/>
        <c:crossesAt val="1"/>
        <c:crossBetween val="between"/>
        <c:dispUnits/>
      </c:valAx>
      <c:spPr>
        <a:noFill/>
        <a:ln>
          <a:noFill/>
        </a:ln>
      </c:spPr>
    </c:plotArea>
    <c:legend>
      <c:legendPos val="r"/>
      <c:layout>
        <c:manualLayout>
          <c:xMode val="edge"/>
          <c:yMode val="edge"/>
          <c:x val="0"/>
          <c:y val="0.83625"/>
          <c:w val="1"/>
          <c:h val="0.16375"/>
        </c:manualLayout>
      </c:layout>
      <c:overlay val="0"/>
      <c:spPr>
        <a:noFill/>
        <a:ln w="3175">
          <a:no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75"/>
          <c:y val="0.0945"/>
          <c:w val="0.80225"/>
          <c:h val="0.76125"/>
        </c:manualLayout>
      </c:layout>
      <c:barChart>
        <c:barDir val="bar"/>
        <c:grouping val="percentStacked"/>
        <c:varyColors val="0"/>
        <c:ser>
          <c:idx val="1"/>
          <c:order val="0"/>
          <c:tx>
            <c:strRef>
              <c:f>'Data Entry'!$D$92</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Entry'!$B$93:$B$94</c:f>
              <c:strCache>
                <c:ptCount val="2"/>
                <c:pt idx="0">
                  <c:v>SSR to SR</c:v>
                </c:pt>
                <c:pt idx="1">
                  <c:v>SRs to PR</c:v>
                </c:pt>
              </c:strCache>
            </c:strRef>
          </c:cat>
          <c:val>
            <c:numRef>
              <c:f>'Data Entry'!$D$93:$D$94</c:f>
              <c:numCache>
                <c:ptCount val="2"/>
              </c:numCache>
            </c:numRef>
          </c:val>
        </c:ser>
        <c:ser>
          <c:idx val="2"/>
          <c:order val="1"/>
          <c:tx>
            <c:strRef>
              <c:f>'Data Entry'!$E$92</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Entry'!$B$93:$B$94</c:f>
              <c:strCache>
                <c:ptCount val="2"/>
                <c:pt idx="0">
                  <c:v>SSR to SR</c:v>
                </c:pt>
                <c:pt idx="1">
                  <c:v>SRs to PR</c:v>
                </c:pt>
              </c:strCache>
            </c:strRef>
          </c:cat>
          <c:val>
            <c:numRef>
              <c:f>'Data Entry'!$E$93:$E$94</c:f>
              <c:numCache>
                <c:ptCount val="2"/>
                <c:pt idx="0">
                  <c:v>0</c:v>
                </c:pt>
              </c:numCache>
            </c:numRef>
          </c:val>
        </c:ser>
        <c:overlap val="100"/>
        <c:gapWidth val="101"/>
        <c:axId val="30508075"/>
        <c:axId val="6137220"/>
      </c:barChart>
      <c:catAx>
        <c:axId val="30508075"/>
        <c:scaling>
          <c:orientation val="minMax"/>
        </c:scaling>
        <c:axPos val="l"/>
        <c:delete val="0"/>
        <c:numFmt formatCode="General" sourceLinked="1"/>
        <c:majorTickMark val="out"/>
        <c:minorTickMark val="none"/>
        <c:tickLblPos val="nextTo"/>
        <c:spPr>
          <a:ln w="3175">
            <a:solidFill>
              <a:srgbClr val="000000"/>
            </a:solidFill>
          </a:ln>
        </c:spPr>
        <c:crossAx val="6137220"/>
        <c:crosses val="autoZero"/>
        <c:auto val="1"/>
        <c:lblOffset val="100"/>
        <c:tickLblSkip val="1"/>
        <c:noMultiLvlLbl val="0"/>
      </c:catAx>
      <c:valAx>
        <c:axId val="613722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0508075"/>
        <c:crosses val="max"/>
        <c:crossBetween val="between"/>
        <c:dispUnits/>
      </c:valAx>
      <c:spPr>
        <a:solidFill>
          <a:srgbClr val="FFFFFF"/>
        </a:solidFill>
        <a:ln w="3175">
          <a:noFill/>
        </a:ln>
      </c:spPr>
    </c:plotArea>
    <c:legend>
      <c:legendPos val="r"/>
      <c:layout>
        <c:manualLayout>
          <c:xMode val="edge"/>
          <c:yMode val="edge"/>
          <c:x val="0.3135"/>
          <c:y val="0.8255"/>
          <c:w val="0.36175"/>
          <c:h val="0.13375"/>
        </c:manualLayout>
      </c:layout>
      <c:overlay val="0"/>
      <c:spPr>
        <a:noFill/>
        <a:ln w="3175">
          <a:noFill/>
        </a:ln>
      </c:spPr>
      <c:txPr>
        <a:bodyPr vert="horz" rot="0"/>
        <a:lstStyle/>
        <a:p>
          <a:pPr>
            <a:defRPr lang="en-US" cap="none" sz="40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05275"/>
          <c:w val="0.851"/>
          <c:h val="0.7355"/>
        </c:manualLayout>
      </c:layout>
      <c:lineChart>
        <c:grouping val="standard"/>
        <c:varyColors val="0"/>
        <c:ser>
          <c:idx val="0"/>
          <c:order val="0"/>
          <c:tx>
            <c:strRef>
              <c:f>'Data Entry'!$B$102</c:f>
              <c:strCache>
                <c:ptCount val="1"/>
                <c:pt idx="0">
                  <c:v>Budget Approved*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Entry'!$C$102:$N$102</c:f>
              <c:numCache>
                <c:ptCount val="12"/>
                <c:pt idx="0">
                  <c:v>2630666.18</c:v>
                </c:pt>
                <c:pt idx="1">
                  <c:v>2630666.18</c:v>
                </c:pt>
                <c:pt idx="2">
                  <c:v>2630666.18</c:v>
                </c:pt>
                <c:pt idx="3">
                  <c:v>2630666.18</c:v>
                </c:pt>
                <c:pt idx="4">
                  <c:v>2630666.18</c:v>
                </c:pt>
                <c:pt idx="5">
                  <c:v>2630666.18</c:v>
                </c:pt>
                <c:pt idx="6">
                  <c:v>2630666.18</c:v>
                </c:pt>
                <c:pt idx="7">
                  <c:v>2630666.18</c:v>
                </c:pt>
                <c:pt idx="8">
                  <c:v>2630666.18</c:v>
                </c:pt>
                <c:pt idx="9">
                  <c:v>2630666.18</c:v>
                </c:pt>
                <c:pt idx="10">
                  <c:v>2630666.18</c:v>
                </c:pt>
                <c:pt idx="11">
                  <c:v>2630666.18</c:v>
                </c:pt>
              </c:numCache>
            </c:numRef>
          </c:val>
          <c:smooth val="0"/>
        </c:ser>
        <c:ser>
          <c:idx val="1"/>
          <c:order val="1"/>
          <c:tx>
            <c:strRef>
              <c:f>'Data Entry'!$B$103</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Entry'!$C$103:$N$103</c:f>
              <c:numCache>
                <c:ptCount val="12"/>
                <c:pt idx="0">
                  <c:v>0</c:v>
                </c:pt>
                <c:pt idx="1">
                  <c:v>0</c:v>
                </c:pt>
                <c:pt idx="2">
                  <c:v>0</c:v>
                </c:pt>
                <c:pt idx="3">
                  <c:v>0</c:v>
                </c:pt>
                <c:pt idx="4">
                  <c:v>0</c:v>
                </c:pt>
                <c:pt idx="5">
                  <c:v>0</c:v>
                </c:pt>
                <c:pt idx="6">
                  <c:v>0</c:v>
                </c:pt>
                <c:pt idx="7">
                  <c:v>0</c:v>
                </c:pt>
                <c:pt idx="8">
                  <c:v>0</c:v>
                </c:pt>
                <c:pt idx="9">
                  <c:v>0</c:v>
                </c:pt>
              </c:numCache>
            </c:numRef>
          </c:val>
          <c:smooth val="0"/>
        </c:ser>
        <c:ser>
          <c:idx val="2"/>
          <c:order val="2"/>
          <c:tx>
            <c:strRef>
              <c:f>'Data Entry'!$B$104</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Entry'!$C$104:$N$104</c:f>
              <c:numCache>
                <c:ptCount val="12"/>
                <c:pt idx="0">
                  <c:v>3197719.5400000005</c:v>
                </c:pt>
                <c:pt idx="1">
                  <c:v>3197719.5400000005</c:v>
                </c:pt>
                <c:pt idx="2">
                  <c:v>3197719.5400000005</c:v>
                </c:pt>
                <c:pt idx="3">
                  <c:v>3197719.5400000005</c:v>
                </c:pt>
                <c:pt idx="4">
                  <c:v>3197719.5400000005</c:v>
                </c:pt>
                <c:pt idx="5">
                  <c:v>3197719.5400000005</c:v>
                </c:pt>
                <c:pt idx="6">
                  <c:v>3197719.5400000005</c:v>
                </c:pt>
                <c:pt idx="7">
                  <c:v>3197719.5400000005</c:v>
                </c:pt>
                <c:pt idx="8">
                  <c:v>3197719.5400000005</c:v>
                </c:pt>
                <c:pt idx="9">
                  <c:v>3197719.5400000005</c:v>
                </c:pt>
                <c:pt idx="10">
                  <c:v>3197719.5400000005</c:v>
                </c:pt>
                <c:pt idx="11">
                  <c:v>3197719.5400000005</c:v>
                </c:pt>
              </c:numCache>
            </c:numRef>
          </c:val>
          <c:smooth val="0"/>
        </c:ser>
        <c:marker val="1"/>
        <c:axId val="55234981"/>
        <c:axId val="27352782"/>
      </c:lineChart>
      <c:catAx>
        <c:axId val="552349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27352782"/>
        <c:crosses val="autoZero"/>
        <c:auto val="1"/>
        <c:lblOffset val="100"/>
        <c:tickLblSkip val="1"/>
        <c:noMultiLvlLbl val="0"/>
      </c:catAx>
      <c:valAx>
        <c:axId val="273527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55234981"/>
        <c:crossesAt val="1"/>
        <c:crossBetween val="between"/>
        <c:dispUnits/>
      </c:valAx>
      <c:spPr>
        <a:solidFill>
          <a:srgbClr val="FFFFFF"/>
        </a:solidFill>
        <a:ln w="12700">
          <a:solidFill>
            <a:srgbClr val="808080"/>
          </a:solidFill>
        </a:ln>
      </c:spPr>
    </c:plotArea>
    <c:legend>
      <c:legendPos val="r"/>
      <c:layout>
        <c:manualLayout>
          <c:xMode val="edge"/>
          <c:yMode val="edge"/>
          <c:x val="0.04325"/>
          <c:y val="0.70525"/>
          <c:w val="0.944"/>
          <c:h val="0.1792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3175"/>
          <c:w val="0.95775"/>
          <c:h val="0.86325"/>
        </c:manualLayout>
      </c:layout>
      <c:barChart>
        <c:barDir val="col"/>
        <c:grouping val="clustered"/>
        <c:varyColors val="0"/>
        <c:ser>
          <c:idx val="0"/>
          <c:order val="0"/>
          <c:tx>
            <c:strRef>
              <c:f>'Data Entry'!$G$124</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Entry'!$H$124:$S$124</c:f>
              <c:numCache>
                <c:ptCount val="12"/>
              </c:numCache>
            </c:numRef>
          </c:val>
        </c:ser>
        <c:ser>
          <c:idx val="1"/>
          <c:order val="1"/>
          <c:tx>
            <c:strRef>
              <c:f>'Data Entry'!$G$125</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Entry'!$H$125:$S$125</c:f>
              <c:numCache>
                <c:ptCount val="12"/>
              </c:numCache>
            </c:numRef>
          </c:val>
        </c:ser>
        <c:axId val="44848447"/>
        <c:axId val="982840"/>
      </c:barChart>
      <c:catAx>
        <c:axId val="4484844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982840"/>
        <c:crosses val="autoZero"/>
        <c:auto val="1"/>
        <c:lblOffset val="100"/>
        <c:tickLblSkip val="1"/>
        <c:noMultiLvlLbl val="0"/>
      </c:catAx>
      <c:valAx>
        <c:axId val="982840"/>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4848447"/>
        <c:crossesAt val="1"/>
        <c:crossBetween val="between"/>
        <c:dispUnits/>
      </c:valAx>
      <c:spPr>
        <a:noFill/>
        <a:ln>
          <a:noFill/>
        </a:ln>
      </c:spPr>
    </c:plotArea>
    <c:legend>
      <c:legendPos val="r"/>
      <c:layout>
        <c:manualLayout>
          <c:xMode val="edge"/>
          <c:yMode val="edge"/>
          <c:x val="0.156"/>
          <c:y val="0.92925"/>
          <c:w val="0.5965"/>
          <c:h val="0.0707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 Id="rId14" Type="http://schemas.openxmlformats.org/officeDocument/2006/relationships/image" Target="../media/image10.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3.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 Id="rId3"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2.png" /><Relationship Id="rId5" Type="http://schemas.openxmlformats.org/officeDocument/2006/relationships/chart" Target="/xl/charts/chart3.xml" /><Relationship Id="rId6" Type="http://schemas.openxmlformats.org/officeDocument/2006/relationships/image" Target="../media/image11.png" /><Relationship Id="rId7"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 Id="rId7"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image" Target="../media/image10.png"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image" Target="../media/image10.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 Id="rId3"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314325</xdr:colOff>
      <xdr:row>5</xdr:row>
      <xdr:rowOff>0</xdr:rowOff>
    </xdr:from>
    <xdr:to>
      <xdr:col>7</xdr:col>
      <xdr:colOff>390525</xdr:colOff>
      <xdr:row>6</xdr:row>
      <xdr:rowOff>47625</xdr:rowOff>
    </xdr:to>
    <xdr:sp>
      <xdr:nvSpPr>
        <xdr:cNvPr id="16" name="Rectangle 803"/>
        <xdr:cNvSpPr>
          <a:spLocks/>
        </xdr:cNvSpPr>
      </xdr:nvSpPr>
      <xdr:spPr>
        <a:xfrm>
          <a:off x="2676525"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83387" y="2803585"/>
              <a:ext cx="334410"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83387" y="2803585"/>
              <a:ext cx="334410" cy="28532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81200" cy="400050"/>
    <xdr:sp>
      <xdr:nvSpPr>
        <xdr:cNvPr id="46" name="Text Box 2013"/>
        <xdr:cNvSpPr txBox="1">
          <a:spLocks noChangeArrowheads="1"/>
        </xdr:cNvSpPr>
      </xdr:nvSpPr>
      <xdr:spPr>
        <a:xfrm>
          <a:off x="428625" y="1895475"/>
          <a:ext cx="1981200"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95250</xdr:rowOff>
    </xdr:from>
    <xdr:ext cx="1990725" cy="400050"/>
    <xdr:sp>
      <xdr:nvSpPr>
        <xdr:cNvPr id="48" name="Text Box 2017"/>
        <xdr:cNvSpPr txBox="1">
          <a:spLocks noChangeArrowheads="1"/>
        </xdr:cNvSpPr>
      </xdr:nvSpPr>
      <xdr:spPr>
        <a:xfrm>
          <a:off x="2952750" y="1905000"/>
          <a:ext cx="1990725"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47625</xdr:colOff>
      <xdr:row>7</xdr:row>
      <xdr:rowOff>95250</xdr:rowOff>
    </xdr:from>
    <xdr:ext cx="2000250" cy="400050"/>
    <xdr:sp>
      <xdr:nvSpPr>
        <xdr:cNvPr id="50" name="Text Box 2019"/>
        <xdr:cNvSpPr txBox="1">
          <a:spLocks noChangeArrowheads="1"/>
        </xdr:cNvSpPr>
      </xdr:nvSpPr>
      <xdr:spPr>
        <a:xfrm>
          <a:off x="5457825" y="1905000"/>
          <a:ext cx="2000250"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twoCellAnchor editAs="oneCell">
    <xdr:from>
      <xdr:col>1</xdr:col>
      <xdr:colOff>9525</xdr:colOff>
      <xdr:row>1</xdr:row>
      <xdr:rowOff>9525</xdr:rowOff>
    </xdr:from>
    <xdr:to>
      <xdr:col>2</xdr:col>
      <xdr:colOff>133350</xdr:colOff>
      <xdr:row>1</xdr:row>
      <xdr:rowOff>457200</xdr:rowOff>
    </xdr:to>
    <xdr:pic>
      <xdr:nvPicPr>
        <xdr:cNvPr id="51" name="Picture 17" descr="http://www.crwflags.com/fotw/images/g/gh.gif"/>
        <xdr:cNvPicPr preferRelativeResize="1">
          <a:picLocks noChangeAspect="1"/>
        </xdr:cNvPicPr>
      </xdr:nvPicPr>
      <xdr:blipFill>
        <a:blip r:embed="rId14"/>
        <a:stretch>
          <a:fillRect/>
        </a:stretch>
      </xdr:blipFill>
      <xdr:spPr>
        <a:xfrm>
          <a:off x="85725" y="333375"/>
          <a:ext cx="885825"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476250</xdr:colOff>
      <xdr:row>1</xdr:row>
      <xdr:rowOff>0</xdr:rowOff>
    </xdr:to>
    <xdr:sp>
      <xdr:nvSpPr>
        <xdr:cNvPr id="1" name="AutoShape 50">
          <a:hlinkClick r:id="rId1"/>
        </xdr:cNvPr>
        <xdr:cNvSpPr>
          <a:spLocks/>
        </xdr:cNvSpPr>
      </xdr:nvSpPr>
      <xdr:spPr>
        <a:xfrm>
          <a:off x="28575" y="28575"/>
          <a:ext cx="533400" cy="31432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8</xdr:col>
      <xdr:colOff>257175</xdr:colOff>
      <xdr:row>34</xdr:row>
      <xdr:rowOff>133350</xdr:rowOff>
    </xdr:from>
    <xdr:to>
      <xdr:col>8</xdr:col>
      <xdr:colOff>257175</xdr:colOff>
      <xdr:row>45</xdr:row>
      <xdr:rowOff>0</xdr:rowOff>
    </xdr:to>
    <xdr:sp>
      <xdr:nvSpPr>
        <xdr:cNvPr id="2" name="AutoShape 100"/>
        <xdr:cNvSpPr>
          <a:spLocks/>
        </xdr:cNvSpPr>
      </xdr:nvSpPr>
      <xdr:spPr>
        <a:xfrm rot="5400000">
          <a:off x="10715625" y="5924550"/>
          <a:ext cx="0" cy="25431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50</xdr:row>
      <xdr:rowOff>104775</xdr:rowOff>
    </xdr:from>
    <xdr:to>
      <xdr:col>4</xdr:col>
      <xdr:colOff>1057275</xdr:colOff>
      <xdr:row>50</xdr:row>
      <xdr:rowOff>104775</xdr:rowOff>
    </xdr:to>
    <xdr:sp>
      <xdr:nvSpPr>
        <xdr:cNvPr id="3" name="AutoShape 101"/>
        <xdr:cNvSpPr>
          <a:spLocks/>
        </xdr:cNvSpPr>
      </xdr:nvSpPr>
      <xdr:spPr>
        <a:xfrm rot="10800000">
          <a:off x="5934075" y="9725025"/>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66675</xdr:colOff>
      <xdr:row>3</xdr:row>
      <xdr:rowOff>19050</xdr:rowOff>
    </xdr:from>
    <xdr:to>
      <xdr:col>1</xdr:col>
      <xdr:colOff>781050</xdr:colOff>
      <xdr:row>5</xdr:row>
      <xdr:rowOff>152400</xdr:rowOff>
    </xdr:to>
    <xdr:pic>
      <xdr:nvPicPr>
        <xdr:cNvPr id="4" name="Picture 17" descr="http://www.crwflags.com/fotw/images/g/gh.gif"/>
        <xdr:cNvPicPr preferRelativeResize="1">
          <a:picLocks noChangeAspect="1"/>
        </xdr:cNvPicPr>
      </xdr:nvPicPr>
      <xdr:blipFill>
        <a:blip r:embed="rId2"/>
        <a:stretch>
          <a:fillRect/>
        </a:stretch>
      </xdr:blipFill>
      <xdr:spPr>
        <a:xfrm>
          <a:off x="247650" y="647700"/>
          <a:ext cx="71437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9525</xdr:rowOff>
    </xdr:from>
    <xdr:to>
      <xdr:col>0</xdr:col>
      <xdr:colOff>1114425</xdr:colOff>
      <xdr:row>1</xdr:row>
      <xdr:rowOff>76200</xdr:rowOff>
    </xdr:to>
    <xdr:sp>
      <xdr:nvSpPr>
        <xdr:cNvPr id="2" name="AutoShape 50">
          <a:hlinkClick r:id="rId2"/>
        </xdr:cNvPr>
        <xdr:cNvSpPr>
          <a:spLocks/>
        </xdr:cNvSpPr>
      </xdr:nvSpPr>
      <xdr:spPr>
        <a:xfrm>
          <a:off x="38100" y="9525"/>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0</xdr:col>
      <xdr:colOff>180975</xdr:colOff>
      <xdr:row>2</xdr:row>
      <xdr:rowOff>9525</xdr:rowOff>
    </xdr:from>
    <xdr:to>
      <xdr:col>0</xdr:col>
      <xdr:colOff>1190625</xdr:colOff>
      <xdr:row>3</xdr:row>
      <xdr:rowOff>66675</xdr:rowOff>
    </xdr:to>
    <xdr:pic>
      <xdr:nvPicPr>
        <xdr:cNvPr id="3" name="Picture 17" descr="http://www.crwflags.com/fotw/images/g/gh.gif"/>
        <xdr:cNvPicPr preferRelativeResize="1">
          <a:picLocks noChangeAspect="1"/>
        </xdr:cNvPicPr>
      </xdr:nvPicPr>
      <xdr:blipFill>
        <a:blip r:embed="rId3"/>
        <a:stretch>
          <a:fillRect/>
        </a:stretch>
      </xdr:blipFill>
      <xdr:spPr>
        <a:xfrm>
          <a:off x="180975" y="600075"/>
          <a:ext cx="10096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57175" y="220980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2</xdr:col>
      <xdr:colOff>0</xdr:colOff>
      <xdr:row>0</xdr:row>
      <xdr:rowOff>352425</xdr:rowOff>
    </xdr:to>
    <xdr:sp>
      <xdr:nvSpPr>
        <xdr:cNvPr id="2" name="AutoShape 50">
          <a:hlinkClick r:id="rId2"/>
        </xdr:cNvPr>
        <xdr:cNvSpPr>
          <a:spLocks/>
        </xdr:cNvSpPr>
      </xdr:nvSpPr>
      <xdr:spPr>
        <a:xfrm>
          <a:off x="38100" y="28575"/>
          <a:ext cx="952500" cy="32385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9525</xdr:rowOff>
    </xdr:from>
    <xdr:to>
      <xdr:col>11</xdr:col>
      <xdr:colOff>228600</xdr:colOff>
      <xdr:row>20</xdr:row>
      <xdr:rowOff>142875</xdr:rowOff>
    </xdr:to>
    <xdr:grpSp>
      <xdr:nvGrpSpPr>
        <xdr:cNvPr id="3" name="Group 489"/>
        <xdr:cNvGrpSpPr>
          <a:grpSpLocks/>
        </xdr:cNvGrpSpPr>
      </xdr:nvGrpSpPr>
      <xdr:grpSpPr>
        <a:xfrm>
          <a:off x="3905250" y="2124075"/>
          <a:ext cx="37147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0</xdr:colOff>
      <xdr:row>32</xdr:row>
      <xdr:rowOff>47625</xdr:rowOff>
    </xdr:to>
    <xdr:grpSp>
      <xdr:nvGrpSpPr>
        <xdr:cNvPr id="6" name="Group 490"/>
        <xdr:cNvGrpSpPr>
          <a:grpSpLocks/>
        </xdr:cNvGrpSpPr>
      </xdr:nvGrpSpPr>
      <xdr:grpSpPr>
        <a:xfrm>
          <a:off x="0" y="4810125"/>
          <a:ext cx="3876675" cy="232410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twoCellAnchor editAs="oneCell">
    <xdr:from>
      <xdr:col>1</xdr:col>
      <xdr:colOff>0</xdr:colOff>
      <xdr:row>1</xdr:row>
      <xdr:rowOff>0</xdr:rowOff>
    </xdr:from>
    <xdr:to>
      <xdr:col>1</xdr:col>
      <xdr:colOff>714375</xdr:colOff>
      <xdr:row>2</xdr:row>
      <xdr:rowOff>9525</xdr:rowOff>
    </xdr:to>
    <xdr:pic>
      <xdr:nvPicPr>
        <xdr:cNvPr id="9" name="Picture 17" descr="http://www.crwflags.com/fotw/images/g/gh.gif"/>
        <xdr:cNvPicPr preferRelativeResize="1">
          <a:picLocks noChangeAspect="1"/>
        </xdr:cNvPicPr>
      </xdr:nvPicPr>
      <xdr:blipFill>
        <a:blip r:embed="rId7"/>
        <a:stretch>
          <a:fillRect/>
        </a:stretch>
      </xdr:blipFill>
      <xdr:spPr>
        <a:xfrm>
          <a:off x="238125" y="390525"/>
          <a:ext cx="71437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9525</xdr:rowOff>
    </xdr:from>
    <xdr:to>
      <xdr:col>2</xdr:col>
      <xdr:colOff>0</xdr:colOff>
      <xdr:row>0</xdr:row>
      <xdr:rowOff>352425</xdr:rowOff>
    </xdr:to>
    <xdr:sp>
      <xdr:nvSpPr>
        <xdr:cNvPr id="6" name="AutoShape 50">
          <a:hlinkClick r:id="rId6"/>
        </xdr:cNvPr>
        <xdr:cNvSpPr>
          <a:spLocks/>
        </xdr:cNvSpPr>
      </xdr:nvSpPr>
      <xdr:spPr>
        <a:xfrm>
          <a:off x="47625" y="9525"/>
          <a:ext cx="86677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2</xdr:col>
      <xdr:colOff>19050</xdr:colOff>
      <xdr:row>2</xdr:row>
      <xdr:rowOff>9525</xdr:rowOff>
    </xdr:to>
    <xdr:pic>
      <xdr:nvPicPr>
        <xdr:cNvPr id="7" name="Picture 17" descr="http://www.crwflags.com/fotw/images/g/gh.gif"/>
        <xdr:cNvPicPr preferRelativeResize="1">
          <a:picLocks noChangeAspect="1"/>
        </xdr:cNvPicPr>
      </xdr:nvPicPr>
      <xdr:blipFill>
        <a:blip r:embed="rId7"/>
        <a:stretch>
          <a:fillRect/>
        </a:stretch>
      </xdr:blipFill>
      <xdr:spPr>
        <a:xfrm>
          <a:off x="219075" y="361950"/>
          <a:ext cx="71437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905250" y="1914525"/>
        <a:ext cx="2895600"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7105650" y="1943100"/>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1962150"/>
        <a:ext cx="2714625" cy="184785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0</xdr:colOff>
      <xdr:row>0</xdr:row>
      <xdr:rowOff>323850</xdr:rowOff>
    </xdr:from>
    <xdr:to>
      <xdr:col>1</xdr:col>
      <xdr:colOff>590550</xdr:colOff>
      <xdr:row>2</xdr:row>
      <xdr:rowOff>9525</xdr:rowOff>
    </xdr:to>
    <xdr:pic>
      <xdr:nvPicPr>
        <xdr:cNvPr id="5" name="Picture 17" descr="http://www.crwflags.com/fotw/images/g/gh.gif"/>
        <xdr:cNvPicPr preferRelativeResize="1">
          <a:picLocks noChangeAspect="1"/>
        </xdr:cNvPicPr>
      </xdr:nvPicPr>
      <xdr:blipFill>
        <a:blip r:embed="rId5"/>
        <a:stretch>
          <a:fillRect/>
        </a:stretch>
      </xdr:blipFill>
      <xdr:spPr>
        <a:xfrm>
          <a:off x="28575" y="323850"/>
          <a:ext cx="590550"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1152525</xdr:colOff>
      <xdr:row>0</xdr:row>
      <xdr:rowOff>419100</xdr:rowOff>
    </xdr:to>
    <xdr:sp>
      <xdr:nvSpPr>
        <xdr:cNvPr id="13" name="AutoShape 50">
          <a:hlinkClick r:id="rId1"/>
        </xdr:cNvPr>
        <xdr:cNvSpPr>
          <a:spLocks/>
        </xdr:cNvSpPr>
      </xdr:nvSpPr>
      <xdr:spPr>
        <a:xfrm>
          <a:off x="9525" y="76200"/>
          <a:ext cx="1219200"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14" name="Picture 17" descr="http://www.crwflags.com/fotw/images/g/gh.gif"/>
        <xdr:cNvPicPr preferRelativeResize="1">
          <a:picLocks noChangeAspect="1"/>
        </xdr:cNvPicPr>
      </xdr:nvPicPr>
      <xdr:blipFill>
        <a:blip r:embed="rId2"/>
        <a:stretch>
          <a:fillRect/>
        </a:stretch>
      </xdr:blipFill>
      <xdr:spPr>
        <a:xfrm>
          <a:off x="76200" y="485775"/>
          <a:ext cx="714375"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3" name="Picture 17" descr="http://www.crwflags.com/fotw/images/g/gh.gif"/>
        <xdr:cNvPicPr preferRelativeResize="1">
          <a:picLocks noChangeAspect="1"/>
        </xdr:cNvPicPr>
      </xdr:nvPicPr>
      <xdr:blipFill>
        <a:blip r:embed="rId3"/>
        <a:stretch>
          <a:fillRect/>
        </a:stretch>
      </xdr:blipFill>
      <xdr:spPr>
        <a:xfrm>
          <a:off x="276225" y="390525"/>
          <a:ext cx="7143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1">
      <selection activeCell="A1" sqref="A1"/>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61" t="str">
        <f>+'Grant Detail'!B3:J3</f>
        <v>Dashboard:  Ghana - HIV / AIDS  (MoH)</v>
      </c>
      <c r="C2" s="561"/>
      <c r="D2" s="561"/>
      <c r="E2" s="561"/>
      <c r="F2" s="561"/>
      <c r="G2" s="561"/>
      <c r="H2" s="561"/>
      <c r="I2" s="561"/>
      <c r="J2" s="561"/>
      <c r="K2" s="561"/>
      <c r="L2" s="561"/>
      <c r="M2" s="1"/>
      <c r="N2" s="1"/>
      <c r="O2" s="1"/>
    </row>
    <row r="4" spans="2:12" ht="21">
      <c r="B4" s="562" t="str">
        <f>+IF('Data Entry'!G6="Please Select","",'Data Entry'!G6)&amp;"  "&amp;+IF('Data Entry'!G8="Please Select","",'Data Entry'!G8&amp;",  ")&amp;+IF('Data Entry'!I8="Please Select","",'Data Entry'!I8)</f>
        <v>HIV / AIDS  NFM,  </v>
      </c>
      <c r="C4" s="562"/>
      <c r="D4" s="562"/>
      <c r="E4" s="563"/>
      <c r="F4" s="193"/>
      <c r="G4" s="193"/>
      <c r="H4" s="247" t="str">
        <f>+'Data Entry'!B6&amp;" "&amp;+'Data Entry'!C6</f>
        <v>Grant No.: GHN-809-G11-H</v>
      </c>
      <c r="I4" s="247"/>
      <c r="J4" s="192"/>
      <c r="K4" s="193"/>
      <c r="L4" s="193"/>
    </row>
    <row r="22" spans="2:12" ht="26.25">
      <c r="B22" s="564" t="s">
        <v>394</v>
      </c>
      <c r="C22" s="565"/>
      <c r="D22" s="565"/>
      <c r="E22" s="565"/>
      <c r="F22" s="565"/>
      <c r="G22" s="565"/>
      <c r="H22" s="565"/>
      <c r="I22" s="565"/>
      <c r="J22" s="565"/>
      <c r="K22" s="565"/>
      <c r="L22" s="565"/>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sheetPr>
    <tabColor indexed="27"/>
  </sheetPr>
  <dimension ref="A1:B50"/>
  <sheetViews>
    <sheetView zoomScalePageLayoutView="0" workbookViewId="0" topLeftCell="A1">
      <selection activeCell="A2" sqref="A2:B2"/>
    </sheetView>
  </sheetViews>
  <sheetFormatPr defaultColWidth="9.140625" defaultRowHeight="15"/>
  <cols>
    <col min="1" max="1" width="9.7109375" style="0" bestFit="1" customWidth="1"/>
    <col min="2" max="2" width="85.28125" style="0" customWidth="1"/>
  </cols>
  <sheetData>
    <row r="1" spans="1:2" ht="15">
      <c r="A1" s="327" t="s">
        <v>425</v>
      </c>
      <c r="B1" s="327" t="s">
        <v>421</v>
      </c>
    </row>
    <row r="2" spans="1:2" ht="15">
      <c r="A2" s="80"/>
      <c r="B2" s="326"/>
    </row>
    <row r="3" ht="15">
      <c r="B3" s="326"/>
    </row>
    <row r="4" ht="15">
      <c r="B4" s="326"/>
    </row>
    <row r="5" ht="15">
      <c r="B5" s="326"/>
    </row>
    <row r="6" ht="15">
      <c r="B6" s="326"/>
    </row>
    <row r="7" ht="15">
      <c r="B7" s="326"/>
    </row>
    <row r="8" ht="15">
      <c r="B8" s="326"/>
    </row>
    <row r="9" ht="15">
      <c r="B9" s="326"/>
    </row>
    <row r="10" ht="15">
      <c r="B10" s="326"/>
    </row>
    <row r="11" ht="15">
      <c r="B11" s="326"/>
    </row>
    <row r="12" ht="15">
      <c r="B12" s="326"/>
    </row>
    <row r="13" ht="15">
      <c r="B13" s="326"/>
    </row>
    <row r="14" ht="15">
      <c r="B14" s="326"/>
    </row>
    <row r="15" ht="15">
      <c r="B15" s="326"/>
    </row>
    <row r="16" ht="15">
      <c r="B16" s="326"/>
    </row>
    <row r="17" ht="15">
      <c r="B17" s="326"/>
    </row>
    <row r="18" ht="15">
      <c r="B18" s="326"/>
    </row>
    <row r="19" ht="15">
      <c r="B19" s="326"/>
    </row>
    <row r="20" ht="15">
      <c r="B20" s="326"/>
    </row>
    <row r="21" ht="15">
      <c r="B21" s="326"/>
    </row>
    <row r="22" ht="15">
      <c r="B22" s="326"/>
    </row>
    <row r="23" ht="15">
      <c r="B23" s="326"/>
    </row>
    <row r="24" ht="15">
      <c r="B24" s="326"/>
    </row>
    <row r="25" ht="15">
      <c r="B25" s="326"/>
    </row>
    <row r="26" ht="15">
      <c r="B26" s="326"/>
    </row>
    <row r="27" ht="15">
      <c r="B27" s="326"/>
    </row>
    <row r="28" ht="15">
      <c r="B28" s="326"/>
    </row>
    <row r="29" ht="15">
      <c r="B29" s="326"/>
    </row>
    <row r="30" ht="15">
      <c r="B30" s="326"/>
    </row>
    <row r="31" ht="15">
      <c r="B31" s="326"/>
    </row>
    <row r="32" ht="15">
      <c r="B32" s="326"/>
    </row>
    <row r="33" ht="15">
      <c r="B33" s="326"/>
    </row>
    <row r="34" ht="15">
      <c r="B34" s="326"/>
    </row>
    <row r="35" ht="15">
      <c r="B35" s="326"/>
    </row>
    <row r="36" ht="15">
      <c r="B36" s="326"/>
    </row>
    <row r="37" ht="15">
      <c r="B37" s="326"/>
    </row>
    <row r="38" ht="15">
      <c r="B38" s="326"/>
    </row>
    <row r="39" ht="15">
      <c r="B39" s="326"/>
    </row>
    <row r="40" ht="15">
      <c r="B40" s="326"/>
    </row>
    <row r="41" ht="15">
      <c r="B41" s="326"/>
    </row>
    <row r="42" ht="15">
      <c r="B42" s="326"/>
    </row>
    <row r="43" ht="15">
      <c r="B43" s="326"/>
    </row>
    <row r="44" ht="15">
      <c r="B44" s="326"/>
    </row>
    <row r="45" ht="15">
      <c r="B45" s="326"/>
    </row>
    <row r="46" ht="15">
      <c r="B46" s="326"/>
    </row>
    <row r="47" ht="15">
      <c r="B47" s="326"/>
    </row>
    <row r="48" ht="15">
      <c r="B48" s="326"/>
    </row>
    <row r="49" ht="15">
      <c r="B49" s="326"/>
    </row>
    <row r="50" ht="15">
      <c r="B50" s="326"/>
    </row>
  </sheetData>
  <sheetProtection/>
  <printOption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58" t="str">
        <f>'Grant Detail'!B3:J3</f>
        <v>Dashboard:  Ghana - HIV / AIDS  (MoH)</v>
      </c>
      <c r="C3" s="958"/>
      <c r="D3" s="958"/>
      <c r="E3" s="958"/>
      <c r="F3" s="958"/>
      <c r="G3" s="958"/>
      <c r="H3" s="958"/>
      <c r="I3" s="1"/>
    </row>
    <row r="6" spans="2:8" ht="18.75">
      <c r="B6" s="932" t="s">
        <v>324</v>
      </c>
      <c r="C6" s="932"/>
      <c r="D6" s="932"/>
      <c r="E6" s="932"/>
      <c r="F6" s="932"/>
      <c r="G6" s="932"/>
      <c r="H6" s="932"/>
    </row>
    <row r="8" spans="2:15" ht="18.75">
      <c r="B8" s="57" t="s">
        <v>40</v>
      </c>
      <c r="C8" s="57" t="s">
        <v>43</v>
      </c>
      <c r="D8" s="57" t="s">
        <v>44</v>
      </c>
      <c r="E8" s="57" t="s">
        <v>49</v>
      </c>
      <c r="F8" s="57" t="s">
        <v>292</v>
      </c>
      <c r="G8" s="57" t="s">
        <v>272</v>
      </c>
      <c r="H8" s="57" t="s">
        <v>299</v>
      </c>
      <c r="I8" s="58" t="s">
        <v>95</v>
      </c>
      <c r="J8" s="58" t="s">
        <v>136</v>
      </c>
      <c r="M8" s="19"/>
      <c r="N8" s="19"/>
      <c r="O8" s="19"/>
    </row>
    <row r="9" spans="2:15" ht="15">
      <c r="B9" s="81" t="s">
        <v>364</v>
      </c>
      <c r="C9" s="81" t="s">
        <v>364</v>
      </c>
      <c r="D9" s="81" t="s">
        <v>364</v>
      </c>
      <c r="E9" s="81" t="s">
        <v>364</v>
      </c>
      <c r="F9" s="81" t="s">
        <v>364</v>
      </c>
      <c r="G9" s="81" t="s">
        <v>364</v>
      </c>
      <c r="H9" s="81" t="s">
        <v>364</v>
      </c>
      <c r="I9" s="264" t="s">
        <v>364</v>
      </c>
      <c r="J9" s="81" t="s">
        <v>364</v>
      </c>
      <c r="M9" s="19"/>
      <c r="N9" s="19"/>
      <c r="O9" s="19"/>
    </row>
    <row r="10" spans="2:15" ht="15">
      <c r="B10" s="52" t="s">
        <v>35</v>
      </c>
      <c r="C10" s="52" t="s">
        <v>26</v>
      </c>
      <c r="D10" s="52" t="s">
        <v>24</v>
      </c>
      <c r="E10" s="52" t="s">
        <v>25</v>
      </c>
      <c r="F10" s="52" t="s">
        <v>113</v>
      </c>
      <c r="G10" s="269" t="s">
        <v>51</v>
      </c>
      <c r="H10" s="55" t="s">
        <v>56</v>
      </c>
      <c r="I10" s="26" t="s">
        <v>305</v>
      </c>
      <c r="J10" s="81" t="s">
        <v>137</v>
      </c>
      <c r="M10" s="19"/>
      <c r="N10" s="19"/>
      <c r="O10" s="19"/>
    </row>
    <row r="11" spans="2:15" ht="15">
      <c r="B11" s="52" t="s">
        <v>41</v>
      </c>
      <c r="C11" s="52" t="s">
        <v>21</v>
      </c>
      <c r="D11" s="52" t="s">
        <v>27</v>
      </c>
      <c r="E11" s="52" t="s">
        <v>23</v>
      </c>
      <c r="F11" s="52" t="s">
        <v>114</v>
      </c>
      <c r="G11" s="269" t="s">
        <v>52</v>
      </c>
      <c r="H11" s="55" t="s">
        <v>57</v>
      </c>
      <c r="I11" s="26" t="s">
        <v>306</v>
      </c>
      <c r="J11" s="81" t="s">
        <v>138</v>
      </c>
      <c r="M11" s="19"/>
      <c r="N11" s="19"/>
      <c r="O11" s="19"/>
    </row>
    <row r="12" spans="2:15" ht="15">
      <c r="B12" s="52" t="s">
        <v>42</v>
      </c>
      <c r="D12" s="52" t="s">
        <v>30</v>
      </c>
      <c r="E12" s="52" t="s">
        <v>31</v>
      </c>
      <c r="F12" s="52" t="s">
        <v>115</v>
      </c>
      <c r="G12" s="269" t="s">
        <v>53</v>
      </c>
      <c r="H12" s="55" t="s">
        <v>58</v>
      </c>
      <c r="I12" s="26" t="s">
        <v>307</v>
      </c>
      <c r="J12" s="81" t="s">
        <v>139</v>
      </c>
      <c r="M12" s="164"/>
      <c r="N12" s="19"/>
      <c r="O12" s="19"/>
    </row>
    <row r="13" spans="2:15" ht="15">
      <c r="B13" s="52" t="s">
        <v>91</v>
      </c>
      <c r="D13" s="52" t="s">
        <v>32</v>
      </c>
      <c r="E13" s="53"/>
      <c r="F13" s="52" t="s">
        <v>116</v>
      </c>
      <c r="G13" s="269" t="s">
        <v>54</v>
      </c>
      <c r="H13" s="55" t="s">
        <v>59</v>
      </c>
      <c r="I13" s="26" t="s">
        <v>308</v>
      </c>
      <c r="J13" s="81" t="s">
        <v>140</v>
      </c>
      <c r="M13" s="164"/>
      <c r="N13" s="19"/>
      <c r="O13" s="19"/>
    </row>
    <row r="14" spans="2:15" ht="15">
      <c r="B14" s="52" t="s">
        <v>92</v>
      </c>
      <c r="D14" s="52" t="s">
        <v>45</v>
      </c>
      <c r="F14" s="52" t="s">
        <v>127</v>
      </c>
      <c r="G14" s="269" t="s">
        <v>55</v>
      </c>
      <c r="H14" s="55" t="s">
        <v>60</v>
      </c>
      <c r="I14" s="26" t="s">
        <v>278</v>
      </c>
      <c r="J14" s="81" t="s">
        <v>141</v>
      </c>
      <c r="M14" s="164"/>
      <c r="N14" s="19"/>
      <c r="O14" s="19"/>
    </row>
    <row r="15" spans="4:15" ht="15">
      <c r="D15" s="52" t="s">
        <v>46</v>
      </c>
      <c r="F15" s="52" t="s">
        <v>128</v>
      </c>
      <c r="H15" s="55" t="s">
        <v>61</v>
      </c>
      <c r="I15" s="26" t="s">
        <v>78</v>
      </c>
      <c r="J15" s="81" t="s">
        <v>142</v>
      </c>
      <c r="M15" s="164"/>
      <c r="N15" s="19"/>
      <c r="O15" s="19"/>
    </row>
    <row r="16" spans="4:15" ht="15">
      <c r="D16" s="52" t="s">
        <v>47</v>
      </c>
      <c r="F16" s="52" t="s">
        <v>129</v>
      </c>
      <c r="H16" s="55" t="s">
        <v>62</v>
      </c>
      <c r="I16" s="26" t="s">
        <v>79</v>
      </c>
      <c r="J16" s="81" t="s">
        <v>143</v>
      </c>
      <c r="M16" s="164"/>
      <c r="N16" s="19"/>
      <c r="O16" s="19"/>
    </row>
    <row r="17" spans="4:15" ht="15">
      <c r="D17" s="52" t="s">
        <v>48</v>
      </c>
      <c r="F17" s="52" t="s">
        <v>130</v>
      </c>
      <c r="H17" s="55" t="s">
        <v>63</v>
      </c>
      <c r="I17" s="26" t="s">
        <v>80</v>
      </c>
      <c r="J17" s="81" t="s">
        <v>144</v>
      </c>
      <c r="M17" s="164"/>
      <c r="N17" s="19"/>
      <c r="O17" s="19"/>
    </row>
    <row r="18" spans="4:15" ht="15">
      <c r="D18" s="52" t="s">
        <v>22</v>
      </c>
      <c r="F18" s="52" t="s">
        <v>131</v>
      </c>
      <c r="H18" s="55" t="s">
        <v>64</v>
      </c>
      <c r="I18" s="26" t="s">
        <v>81</v>
      </c>
      <c r="J18" s="81" t="s">
        <v>145</v>
      </c>
      <c r="M18" s="164"/>
      <c r="N18" s="19"/>
      <c r="O18" s="19"/>
    </row>
    <row r="19" spans="4:15" ht="15">
      <c r="D19" s="268" t="s">
        <v>360</v>
      </c>
      <c r="F19" s="52" t="s">
        <v>132</v>
      </c>
      <c r="H19" s="55" t="s">
        <v>65</v>
      </c>
      <c r="I19" s="26" t="s">
        <v>82</v>
      </c>
      <c r="J19" s="81" t="s">
        <v>146</v>
      </c>
      <c r="M19" s="164"/>
      <c r="N19" s="19"/>
      <c r="O19" s="19"/>
    </row>
    <row r="20" spans="4:15" ht="15">
      <c r="D20" s="54"/>
      <c r="F20" s="52" t="s">
        <v>133</v>
      </c>
      <c r="H20" s="55" t="s">
        <v>269</v>
      </c>
      <c r="I20" s="26" t="s">
        <v>83</v>
      </c>
      <c r="J20" s="81" t="s">
        <v>147</v>
      </c>
      <c r="M20" s="19"/>
      <c r="N20" s="19"/>
      <c r="O20" s="19"/>
    </row>
    <row r="21" spans="4:15" ht="15">
      <c r="D21" s="56"/>
      <c r="F21" s="52" t="s">
        <v>293</v>
      </c>
      <c r="H21" s="56"/>
      <c r="I21" s="26" t="s">
        <v>85</v>
      </c>
      <c r="J21" s="81" t="s">
        <v>148</v>
      </c>
      <c r="M21" s="19"/>
      <c r="N21" s="19"/>
      <c r="O21" s="19"/>
    </row>
    <row r="22" spans="8:15" ht="15">
      <c r="H22" s="56"/>
      <c r="I22" s="26" t="s">
        <v>86</v>
      </c>
      <c r="J22" s="81" t="s">
        <v>149</v>
      </c>
      <c r="M22" s="19"/>
      <c r="N22" s="19"/>
      <c r="O22" s="19"/>
    </row>
    <row r="23" spans="9:15" ht="15">
      <c r="I23" s="26" t="s">
        <v>84</v>
      </c>
      <c r="J23" s="81" t="s">
        <v>150</v>
      </c>
      <c r="M23" s="19"/>
      <c r="N23" s="19"/>
      <c r="O23" s="19"/>
    </row>
    <row r="24" spans="9:15" ht="15">
      <c r="I24" s="26" t="s">
        <v>316</v>
      </c>
      <c r="J24" s="81" t="s">
        <v>151</v>
      </c>
      <c r="M24" s="19"/>
      <c r="N24" s="19"/>
      <c r="O24" s="19"/>
    </row>
    <row r="25" spans="9:10" ht="15">
      <c r="I25" s="40"/>
      <c r="J25" s="81" t="s">
        <v>152</v>
      </c>
    </row>
    <row r="26" spans="9:10" ht="15">
      <c r="I26" s="26" t="s">
        <v>319</v>
      </c>
      <c r="J26" s="81" t="s">
        <v>153</v>
      </c>
    </row>
    <row r="27" spans="9:10" ht="15">
      <c r="I27" s="26" t="s">
        <v>315</v>
      </c>
      <c r="J27" s="81" t="s">
        <v>154</v>
      </c>
    </row>
    <row r="28" spans="9:10" ht="15">
      <c r="I28" s="40"/>
      <c r="J28" s="81" t="s">
        <v>155</v>
      </c>
    </row>
    <row r="29" spans="9:10" ht="15">
      <c r="I29" s="40"/>
      <c r="J29" s="81" t="s">
        <v>156</v>
      </c>
    </row>
    <row r="30" spans="9:10" ht="15">
      <c r="I30" s="40"/>
      <c r="J30" s="81" t="s">
        <v>157</v>
      </c>
    </row>
    <row r="31" ht="15">
      <c r="J31" s="81" t="s">
        <v>158</v>
      </c>
    </row>
    <row r="32" ht="15">
      <c r="J32" s="81" t="s">
        <v>159</v>
      </c>
    </row>
    <row r="33" ht="15">
      <c r="J33" s="81" t="s">
        <v>160</v>
      </c>
    </row>
    <row r="34" ht="15">
      <c r="J34" s="81" t="s">
        <v>161</v>
      </c>
    </row>
    <row r="35" ht="15">
      <c r="J35" s="81" t="s">
        <v>162</v>
      </c>
    </row>
    <row r="36" ht="15">
      <c r="J36" s="81" t="s">
        <v>162</v>
      </c>
    </row>
    <row r="37" ht="15">
      <c r="J37" s="81" t="s">
        <v>163</v>
      </c>
    </row>
    <row r="38" ht="15">
      <c r="J38" s="81" t="s">
        <v>164</v>
      </c>
    </row>
    <row r="39" ht="15">
      <c r="J39" s="81" t="s">
        <v>165</v>
      </c>
    </row>
    <row r="40" ht="15">
      <c r="J40" s="81" t="s">
        <v>166</v>
      </c>
    </row>
    <row r="41" ht="15">
      <c r="J41" s="81" t="s">
        <v>167</v>
      </c>
    </row>
    <row r="42" ht="15">
      <c r="J42" s="81" t="s">
        <v>168</v>
      </c>
    </row>
    <row r="43" ht="15">
      <c r="J43" s="81" t="s">
        <v>169</v>
      </c>
    </row>
    <row r="44" ht="15">
      <c r="J44" s="81" t="s">
        <v>170</v>
      </c>
    </row>
    <row r="45" ht="15">
      <c r="J45" s="81" t="s">
        <v>171</v>
      </c>
    </row>
    <row r="46" ht="15">
      <c r="J46" s="81" t="s">
        <v>172</v>
      </c>
    </row>
    <row r="47" ht="15">
      <c r="J47" s="81" t="s">
        <v>173</v>
      </c>
    </row>
    <row r="48" ht="15">
      <c r="J48" s="81" t="s">
        <v>174</v>
      </c>
    </row>
    <row r="49" ht="15">
      <c r="J49" s="81" t="s">
        <v>175</v>
      </c>
    </row>
    <row r="50" ht="15">
      <c r="J50" s="81" t="s">
        <v>176</v>
      </c>
    </row>
    <row r="51" ht="15">
      <c r="J51" s="81" t="s">
        <v>177</v>
      </c>
    </row>
    <row r="52" ht="15">
      <c r="J52" s="81" t="s">
        <v>178</v>
      </c>
    </row>
    <row r="53" ht="15">
      <c r="J53" s="81" t="s">
        <v>179</v>
      </c>
    </row>
    <row r="54" ht="15">
      <c r="J54" s="81" t="s">
        <v>180</v>
      </c>
    </row>
    <row r="55" ht="15">
      <c r="J55" s="81" t="s">
        <v>181</v>
      </c>
    </row>
    <row r="56" ht="15">
      <c r="J56" s="81" t="s">
        <v>182</v>
      </c>
    </row>
    <row r="57" ht="15">
      <c r="J57" s="81" t="s">
        <v>183</v>
      </c>
    </row>
    <row r="58" ht="15">
      <c r="J58" s="81" t="s">
        <v>184</v>
      </c>
    </row>
    <row r="59" ht="15">
      <c r="J59" s="81" t="s">
        <v>185</v>
      </c>
    </row>
    <row r="60" ht="15">
      <c r="J60" s="81" t="s">
        <v>186</v>
      </c>
    </row>
    <row r="61" ht="15">
      <c r="J61" s="81" t="s">
        <v>187</v>
      </c>
    </row>
    <row r="62" ht="15">
      <c r="J62" s="81" t="s">
        <v>188</v>
      </c>
    </row>
    <row r="63" ht="15">
      <c r="J63" s="81" t="s">
        <v>189</v>
      </c>
    </row>
    <row r="64" ht="15">
      <c r="J64" s="81" t="s">
        <v>190</v>
      </c>
    </row>
    <row r="65" ht="15">
      <c r="J65" s="81" t="s">
        <v>191</v>
      </c>
    </row>
    <row r="66" ht="15">
      <c r="J66" s="81" t="s">
        <v>192</v>
      </c>
    </row>
    <row r="67" ht="15">
      <c r="J67" s="81" t="s">
        <v>193</v>
      </c>
    </row>
    <row r="68" ht="15">
      <c r="J68" s="81" t="s">
        <v>194</v>
      </c>
    </row>
    <row r="69" ht="15">
      <c r="J69" s="81" t="s">
        <v>195</v>
      </c>
    </row>
    <row r="70" ht="15">
      <c r="J70" s="81" t="s">
        <v>196</v>
      </c>
    </row>
    <row r="71" ht="15">
      <c r="J71" s="81" t="s">
        <v>197</v>
      </c>
    </row>
    <row r="72" ht="15">
      <c r="J72" s="81" t="s">
        <v>198</v>
      </c>
    </row>
    <row r="73" ht="15">
      <c r="J73" s="81" t="s">
        <v>199</v>
      </c>
    </row>
    <row r="74" ht="15">
      <c r="J74" s="81" t="s">
        <v>200</v>
      </c>
    </row>
    <row r="75" ht="15">
      <c r="J75" s="81" t="s">
        <v>201</v>
      </c>
    </row>
    <row r="76" ht="15">
      <c r="J76" s="81" t="s">
        <v>202</v>
      </c>
    </row>
    <row r="77" ht="15">
      <c r="J77" s="81" t="s">
        <v>203</v>
      </c>
    </row>
    <row r="78" ht="15">
      <c r="J78" s="81" t="s">
        <v>204</v>
      </c>
    </row>
    <row r="79" ht="15">
      <c r="J79" s="81" t="s">
        <v>205</v>
      </c>
    </row>
    <row r="80" ht="15">
      <c r="J80" s="81" t="s">
        <v>206</v>
      </c>
    </row>
    <row r="81" ht="15">
      <c r="J81" s="81" t="s">
        <v>207</v>
      </c>
    </row>
    <row r="82" ht="15">
      <c r="J82" s="81" t="s">
        <v>208</v>
      </c>
    </row>
    <row r="83" ht="15">
      <c r="J83" s="81" t="s">
        <v>209</v>
      </c>
    </row>
    <row r="84" ht="15">
      <c r="J84" s="81" t="s">
        <v>210</v>
      </c>
    </row>
    <row r="85" ht="15">
      <c r="J85" s="81" t="s">
        <v>211</v>
      </c>
    </row>
    <row r="86" ht="15">
      <c r="J86" s="81" t="s">
        <v>212</v>
      </c>
    </row>
    <row r="87" ht="15">
      <c r="J87" s="81" t="s">
        <v>213</v>
      </c>
    </row>
    <row r="88" ht="15">
      <c r="J88" s="81" t="s">
        <v>214</v>
      </c>
    </row>
    <row r="89" ht="15">
      <c r="J89" s="81" t="s">
        <v>215</v>
      </c>
    </row>
    <row r="90" ht="15">
      <c r="J90" s="81" t="s">
        <v>216</v>
      </c>
    </row>
    <row r="91" ht="15">
      <c r="J91" s="81" t="s">
        <v>217</v>
      </c>
    </row>
    <row r="92" ht="15">
      <c r="J92" s="81" t="s">
        <v>218</v>
      </c>
    </row>
    <row r="93" ht="15">
      <c r="J93" s="81" t="s">
        <v>219</v>
      </c>
    </row>
    <row r="94" ht="15">
      <c r="J94" s="81" t="s">
        <v>220</v>
      </c>
    </row>
    <row r="95" ht="15">
      <c r="J95" s="81" t="s">
        <v>221</v>
      </c>
    </row>
    <row r="96" ht="15">
      <c r="J96" s="81" t="s">
        <v>222</v>
      </c>
    </row>
    <row r="97" ht="15">
      <c r="J97" s="81" t="s">
        <v>223</v>
      </c>
    </row>
    <row r="98" ht="15">
      <c r="J98" s="81" t="s">
        <v>224</v>
      </c>
    </row>
    <row r="99" ht="15">
      <c r="J99" s="81" t="s">
        <v>225</v>
      </c>
    </row>
    <row r="100" ht="15">
      <c r="J100" s="81" t="s">
        <v>226</v>
      </c>
    </row>
    <row r="101" ht="15">
      <c r="J101" s="81" t="s">
        <v>227</v>
      </c>
    </row>
    <row r="102" ht="15">
      <c r="J102" s="81" t="s">
        <v>228</v>
      </c>
    </row>
    <row r="103" ht="15">
      <c r="J103" s="81" t="s">
        <v>229</v>
      </c>
    </row>
    <row r="104" ht="15">
      <c r="J104" s="81" t="s">
        <v>230</v>
      </c>
    </row>
    <row r="105" ht="15">
      <c r="J105" s="81" t="s">
        <v>231</v>
      </c>
    </row>
    <row r="106" ht="15">
      <c r="J106" s="81" t="s">
        <v>232</v>
      </c>
    </row>
    <row r="107" ht="15">
      <c r="J107" s="81" t="s">
        <v>233</v>
      </c>
    </row>
    <row r="108" ht="15">
      <c r="J108" s="81" t="s">
        <v>234</v>
      </c>
    </row>
    <row r="109" ht="15">
      <c r="J109" s="81" t="s">
        <v>235</v>
      </c>
    </row>
    <row r="110" ht="15">
      <c r="J110" s="81" t="s">
        <v>236</v>
      </c>
    </row>
    <row r="111" ht="15">
      <c r="J111" s="81" t="s">
        <v>88</v>
      </c>
    </row>
    <row r="112" ht="15">
      <c r="J112" s="81" t="s">
        <v>237</v>
      </c>
    </row>
    <row r="113" ht="15">
      <c r="J113" s="81" t="s">
        <v>238</v>
      </c>
    </row>
    <row r="114" ht="15">
      <c r="J114" s="81" t="s">
        <v>239</v>
      </c>
    </row>
    <row r="115" ht="15">
      <c r="J115" s="81" t="s">
        <v>240</v>
      </c>
    </row>
    <row r="116" ht="15">
      <c r="J116" s="81" t="s">
        <v>241</v>
      </c>
    </row>
    <row r="117" ht="15">
      <c r="J117" s="81" t="s">
        <v>242</v>
      </c>
    </row>
    <row r="118" ht="15">
      <c r="J118" s="81" t="s">
        <v>243</v>
      </c>
    </row>
    <row r="119" ht="15">
      <c r="J119" s="81" t="s">
        <v>244</v>
      </c>
    </row>
    <row r="120" ht="15">
      <c r="J120" s="81" t="s">
        <v>245</v>
      </c>
    </row>
    <row r="121" ht="15">
      <c r="J121" s="81" t="s">
        <v>246</v>
      </c>
    </row>
    <row r="122" ht="15">
      <c r="J122" s="81" t="s">
        <v>247</v>
      </c>
    </row>
    <row r="123" ht="15">
      <c r="J123" s="81" t="s">
        <v>248</v>
      </c>
    </row>
    <row r="124" ht="15">
      <c r="J124" s="81" t="s">
        <v>249</v>
      </c>
    </row>
    <row r="125" ht="15">
      <c r="J125" s="81" t="s">
        <v>250</v>
      </c>
    </row>
    <row r="126" ht="15">
      <c r="J126" s="81" t="s">
        <v>251</v>
      </c>
    </row>
    <row r="127" ht="15">
      <c r="J127" s="81" t="s">
        <v>252</v>
      </c>
    </row>
    <row r="128" ht="15">
      <c r="J128" s="81" t="s">
        <v>253</v>
      </c>
    </row>
    <row r="129" ht="15">
      <c r="J129" s="81" t="s">
        <v>254</v>
      </c>
    </row>
    <row r="130" ht="15">
      <c r="J130" s="81" t="s">
        <v>255</v>
      </c>
    </row>
    <row r="131" ht="15">
      <c r="J131" s="81" t="s">
        <v>256</v>
      </c>
    </row>
    <row r="132" ht="15">
      <c r="J132" s="81" t="s">
        <v>257</v>
      </c>
    </row>
    <row r="133" ht="15">
      <c r="J133" s="81" t="s">
        <v>258</v>
      </c>
    </row>
    <row r="134" ht="15">
      <c r="J134" s="81" t="s">
        <v>259</v>
      </c>
    </row>
    <row r="135" ht="15">
      <c r="J135" s="81" t="s">
        <v>260</v>
      </c>
    </row>
    <row r="136" ht="15">
      <c r="J136" s="81" t="s">
        <v>261</v>
      </c>
    </row>
    <row r="137" ht="15">
      <c r="J137" s="81" t="s">
        <v>262</v>
      </c>
    </row>
    <row r="138" ht="15">
      <c r="J138" s="81" t="s">
        <v>263</v>
      </c>
    </row>
    <row r="139" ht="15">
      <c r="J139" s="81" t="s">
        <v>264</v>
      </c>
    </row>
    <row r="140" ht="15">
      <c r="J140" s="81" t="s">
        <v>265</v>
      </c>
    </row>
    <row r="141" ht="15">
      <c r="J141" s="81" t="s">
        <v>266</v>
      </c>
    </row>
    <row r="142" ht="15">
      <c r="J142" s="81" t="s">
        <v>267</v>
      </c>
    </row>
    <row r="143" ht="15">
      <c r="J143" s="81" t="s">
        <v>268</v>
      </c>
    </row>
    <row r="144" ht="15">
      <c r="J144" s="263"/>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4"/>
  <sheetViews>
    <sheetView showGridLines="0" zoomScalePageLayoutView="0" workbookViewId="0" topLeftCell="A1">
      <pane ySplit="2" topLeftCell="A41" activePane="bottomLeft" state="frozen"/>
      <selection pane="topLeft" activeCell="E22" sqref="E22"/>
      <selection pane="bottomLeft" activeCell="A30" sqref="A30"/>
    </sheetView>
  </sheetViews>
  <sheetFormatPr defaultColWidth="11.00390625" defaultRowHeight="15"/>
  <cols>
    <col min="1" max="1" width="1.28515625" style="0" customWidth="1"/>
    <col min="2" max="2" width="7.140625" style="0" customWidth="1"/>
    <col min="3" max="3" width="8.8515625" style="0" customWidth="1"/>
    <col min="4" max="4" width="7.00390625" style="0" customWidth="1"/>
    <col min="5" max="5" width="16.421875" style="0" customWidth="1"/>
    <col min="6" max="6" width="10.8515625" style="0" customWidth="1"/>
    <col min="7" max="7" width="15.421875" style="0" customWidth="1"/>
    <col min="8" max="8" width="11.8515625" style="0" customWidth="1"/>
    <col min="9" max="9" width="4.7109375" style="0" customWidth="1"/>
    <col min="10" max="10" width="14.140625" style="0" customWidth="1"/>
    <col min="11" max="11" width="7.7109375" style="0" customWidth="1"/>
    <col min="12" max="12" width="3.28125" style="0" customWidth="1"/>
    <col min="13" max="13" width="16.8515625" style="0" customWidth="1"/>
    <col min="14" max="14" width="2.57421875" style="35" customWidth="1"/>
    <col min="15" max="15" width="3.00390625" style="35" customWidth="1"/>
    <col min="16" max="16" width="2.57421875" style="0" customWidth="1"/>
    <col min="17" max="17" width="8.710937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27" customHeight="1">
      <c r="A1" s="3"/>
      <c r="B1" s="3"/>
      <c r="C1" s="3"/>
      <c r="D1" s="3"/>
      <c r="E1" s="3"/>
      <c r="F1" s="3"/>
      <c r="G1" s="3"/>
      <c r="H1" s="3"/>
      <c r="I1" s="3"/>
      <c r="J1" s="3"/>
      <c r="K1" s="3"/>
      <c r="L1" s="3"/>
      <c r="M1" s="3"/>
    </row>
    <row r="2" spans="1:13" ht="23.25" customHeight="1">
      <c r="A2" s="3"/>
      <c r="B2" s="591" t="str">
        <f>'Grant Detail'!B3:J3</f>
        <v>Dashboard:  Ghana - HIV / AIDS  (MoH)</v>
      </c>
      <c r="C2" s="591"/>
      <c r="D2" s="591"/>
      <c r="E2" s="591"/>
      <c r="F2" s="591"/>
      <c r="G2" s="591"/>
      <c r="H2" s="591"/>
      <c r="I2" s="591"/>
      <c r="J2" s="591"/>
      <c r="K2" s="591"/>
      <c r="L2" s="591"/>
      <c r="M2" s="591"/>
    </row>
    <row r="3" spans="1:13" ht="15.75" customHeight="1">
      <c r="A3" s="3"/>
      <c r="B3" s="185"/>
      <c r="C3" s="185"/>
      <c r="D3" s="185"/>
      <c r="E3" s="185"/>
      <c r="F3" s="185"/>
      <c r="G3" s="185"/>
      <c r="H3" s="185"/>
      <c r="I3" s="185"/>
      <c r="J3" s="185"/>
      <c r="K3" s="186"/>
      <c r="L3" s="186"/>
      <c r="M3" s="3"/>
    </row>
    <row r="4" ht="21">
      <c r="G4" s="315" t="s">
        <v>96</v>
      </c>
    </row>
    <row r="5" spans="2:15" ht="15">
      <c r="B5" s="592" t="s">
        <v>289</v>
      </c>
      <c r="C5" s="592"/>
      <c r="D5" s="592"/>
      <c r="E5" s="592"/>
      <c r="F5" s="592"/>
      <c r="G5" s="592"/>
      <c r="H5" s="592"/>
      <c r="I5" s="592"/>
      <c r="J5" s="592"/>
      <c r="K5" s="592"/>
      <c r="L5" s="592"/>
      <c r="M5" s="592"/>
      <c r="N5" s="592"/>
      <c r="O5" s="592"/>
    </row>
    <row r="7" spans="2:15" ht="15">
      <c r="B7" s="593" t="s">
        <v>279</v>
      </c>
      <c r="C7" s="594"/>
      <c r="D7" s="595"/>
      <c r="E7" s="593" t="s">
        <v>280</v>
      </c>
      <c r="F7" s="594"/>
      <c r="G7" s="594"/>
      <c r="H7" s="594"/>
      <c r="I7" s="595"/>
      <c r="J7" s="593" t="s">
        <v>281</v>
      </c>
      <c r="K7" s="594"/>
      <c r="L7" s="595"/>
      <c r="M7" s="593" t="s">
        <v>344</v>
      </c>
      <c r="N7" s="594"/>
      <c r="O7" s="595"/>
    </row>
    <row r="8" spans="2:15" ht="92.25" customHeight="1">
      <c r="B8" s="569" t="str">
        <f>+'Data Entry'!B27</f>
        <v>F1: Budget and disbursements by Global Fund</v>
      </c>
      <c r="C8" s="570"/>
      <c r="D8" s="571"/>
      <c r="E8" s="596" t="s">
        <v>397</v>
      </c>
      <c r="F8" s="597"/>
      <c r="G8" s="597"/>
      <c r="H8" s="597"/>
      <c r="I8" s="598"/>
      <c r="J8" s="566" t="s">
        <v>345</v>
      </c>
      <c r="K8" s="567"/>
      <c r="L8" s="568"/>
      <c r="M8" s="566" t="s">
        <v>384</v>
      </c>
      <c r="N8" s="567"/>
      <c r="O8" s="568"/>
    </row>
    <row r="9" spans="2:15" ht="117.75" customHeight="1">
      <c r="B9" s="569" t="str">
        <f>+'Data Entry'!B36</f>
        <v>F2: Budget and actual expenditures by Grant Objective</v>
      </c>
      <c r="C9" s="570"/>
      <c r="D9" s="571"/>
      <c r="E9" s="572" t="s">
        <v>3</v>
      </c>
      <c r="F9" s="573"/>
      <c r="G9" s="573"/>
      <c r="H9" s="573"/>
      <c r="I9" s="574"/>
      <c r="J9" s="566" t="s">
        <v>347</v>
      </c>
      <c r="K9" s="567"/>
      <c r="L9" s="568"/>
      <c r="M9" s="566" t="s">
        <v>384</v>
      </c>
      <c r="N9" s="567"/>
      <c r="O9" s="568"/>
    </row>
    <row r="10" spans="2:15" ht="253.5" customHeight="1">
      <c r="B10" s="575" t="str">
        <f>+'Data Entry'!B53</f>
        <v>F3: Disbursements and expenditures</v>
      </c>
      <c r="C10" s="578"/>
      <c r="D10" s="579"/>
      <c r="E10" s="580" t="s">
        <v>2</v>
      </c>
      <c r="F10" s="576"/>
      <c r="G10" s="576"/>
      <c r="H10" s="576"/>
      <c r="I10" s="577"/>
      <c r="J10" s="584" t="s">
        <v>398</v>
      </c>
      <c r="K10" s="585"/>
      <c r="L10" s="586"/>
      <c r="M10" s="584" t="s">
        <v>346</v>
      </c>
      <c r="N10" s="585"/>
      <c r="O10" s="586"/>
    </row>
    <row r="11" spans="2:15" ht="68.25" customHeight="1">
      <c r="B11" s="312"/>
      <c r="C11" s="313"/>
      <c r="D11" s="314"/>
      <c r="E11" s="587" t="s">
        <v>1</v>
      </c>
      <c r="F11" s="588"/>
      <c r="G11" s="588"/>
      <c r="H11" s="588"/>
      <c r="I11" s="589"/>
      <c r="J11" s="288"/>
      <c r="K11" s="289"/>
      <c r="L11" s="290"/>
      <c r="M11" s="288"/>
      <c r="N11" s="289"/>
      <c r="O11" s="290"/>
    </row>
    <row r="12" spans="2:15" ht="236.25" customHeight="1">
      <c r="B12" s="575" t="str">
        <f>+'Data Entry'!B62</f>
        <v>F4: Latest PR reporting and disbursement cycle</v>
      </c>
      <c r="C12" s="576"/>
      <c r="D12" s="577"/>
      <c r="E12" s="580" t="s">
        <v>4</v>
      </c>
      <c r="F12" s="576"/>
      <c r="G12" s="576"/>
      <c r="H12" s="576"/>
      <c r="I12" s="577"/>
      <c r="J12" s="584" t="s">
        <v>399</v>
      </c>
      <c r="K12" s="585"/>
      <c r="L12" s="586"/>
      <c r="M12" s="584" t="s">
        <v>284</v>
      </c>
      <c r="N12" s="585"/>
      <c r="O12" s="586"/>
    </row>
    <row r="13" spans="2:15" s="19" customFormat="1" ht="114" customHeight="1">
      <c r="B13" s="581"/>
      <c r="C13" s="581"/>
      <c r="D13" s="581"/>
      <c r="E13" s="599" t="s">
        <v>0</v>
      </c>
      <c r="F13" s="600"/>
      <c r="G13" s="600"/>
      <c r="H13" s="600"/>
      <c r="I13" s="600"/>
      <c r="J13" s="590"/>
      <c r="K13" s="590"/>
      <c r="L13" s="590"/>
      <c r="M13" s="590"/>
      <c r="N13" s="590"/>
      <c r="O13" s="590"/>
    </row>
    <row r="14" spans="2:15" s="19" customFormat="1" ht="15">
      <c r="B14" s="583"/>
      <c r="C14" s="583"/>
      <c r="D14" s="583"/>
      <c r="E14" s="601"/>
      <c r="F14" s="601"/>
      <c r="G14" s="601"/>
      <c r="H14" s="601"/>
      <c r="I14" s="601"/>
      <c r="J14" s="601"/>
      <c r="K14" s="601"/>
      <c r="L14" s="601"/>
      <c r="M14" s="601"/>
      <c r="N14" s="601"/>
      <c r="O14" s="601"/>
    </row>
    <row r="15" spans="2:15" s="19" customFormat="1" ht="15">
      <c r="B15" s="583"/>
      <c r="C15" s="583"/>
      <c r="D15" s="583"/>
      <c r="E15" s="582"/>
      <c r="F15" s="582"/>
      <c r="G15" s="582"/>
      <c r="H15" s="582"/>
      <c r="I15" s="582"/>
      <c r="J15" s="601"/>
      <c r="K15" s="601"/>
      <c r="L15" s="601"/>
      <c r="M15" s="601"/>
      <c r="N15" s="601"/>
      <c r="O15" s="601"/>
    </row>
    <row r="16" spans="2:15" s="19" customFormat="1" ht="15">
      <c r="B16" s="583"/>
      <c r="C16" s="583"/>
      <c r="D16" s="583"/>
      <c r="E16" s="582"/>
      <c r="F16" s="582"/>
      <c r="G16" s="582"/>
      <c r="H16" s="582"/>
      <c r="I16" s="582"/>
      <c r="J16" s="601"/>
      <c r="K16" s="601"/>
      <c r="L16" s="601"/>
      <c r="M16" s="601"/>
      <c r="N16" s="601"/>
      <c r="O16" s="601"/>
    </row>
    <row r="17" spans="2:15" ht="15">
      <c r="B17" s="592" t="s">
        <v>290</v>
      </c>
      <c r="C17" s="592"/>
      <c r="D17" s="592"/>
      <c r="E17" s="592"/>
      <c r="F17" s="592"/>
      <c r="G17" s="592"/>
      <c r="H17" s="592"/>
      <c r="I17" s="592"/>
      <c r="J17" s="592"/>
      <c r="K17" s="592"/>
      <c r="L17" s="592"/>
      <c r="M17" s="592"/>
      <c r="N17" s="592"/>
      <c r="O17" s="592"/>
    </row>
    <row r="18" spans="2:15" ht="15">
      <c r="B18" s="286"/>
      <c r="C18" s="286"/>
      <c r="D18" s="286"/>
      <c r="E18" s="286"/>
      <c r="F18" s="286"/>
      <c r="G18" s="286"/>
      <c r="H18" s="286"/>
      <c r="I18" s="286"/>
      <c r="J18" s="286"/>
      <c r="K18" s="286"/>
      <c r="L18" s="286"/>
      <c r="M18" s="286"/>
      <c r="N18" s="287"/>
      <c r="O18" s="287"/>
    </row>
    <row r="19" spans="2:15" ht="15">
      <c r="B19" s="602" t="s">
        <v>5</v>
      </c>
      <c r="C19" s="603"/>
      <c r="D19" s="604"/>
      <c r="E19" s="602" t="s">
        <v>280</v>
      </c>
      <c r="F19" s="603"/>
      <c r="G19" s="603"/>
      <c r="H19" s="603"/>
      <c r="I19" s="604"/>
      <c r="J19" s="602" t="s">
        <v>281</v>
      </c>
      <c r="K19" s="603"/>
      <c r="L19" s="604"/>
      <c r="M19" s="602" t="s">
        <v>282</v>
      </c>
      <c r="N19" s="603"/>
      <c r="O19" s="604"/>
    </row>
    <row r="20" spans="2:15" ht="114" customHeight="1">
      <c r="B20" s="569" t="str">
        <f>+'Data Entry'!B73</f>
        <v>M1: Status of Conditions Precedent (CPs) and Time Bound Actions (TBAs)</v>
      </c>
      <c r="C20" s="573"/>
      <c r="D20" s="574"/>
      <c r="E20" s="572" t="s">
        <v>400</v>
      </c>
      <c r="F20" s="573"/>
      <c r="G20" s="573"/>
      <c r="H20" s="573"/>
      <c r="I20" s="574"/>
      <c r="J20" s="566" t="s">
        <v>348</v>
      </c>
      <c r="K20" s="567"/>
      <c r="L20" s="568"/>
      <c r="M20" s="566" t="s">
        <v>349</v>
      </c>
      <c r="N20" s="567"/>
      <c r="O20" s="568"/>
    </row>
    <row r="21" spans="2:15" ht="102.75" customHeight="1">
      <c r="B21" s="569" t="str">
        <f>+'Data Entry'!B80</f>
        <v>M2: Status of key PR management positions</v>
      </c>
      <c r="C21" s="573"/>
      <c r="D21" s="574"/>
      <c r="E21" s="572" t="s">
        <v>401</v>
      </c>
      <c r="F21" s="573"/>
      <c r="G21" s="573"/>
      <c r="H21" s="573"/>
      <c r="I21" s="574"/>
      <c r="J21" s="566" t="s">
        <v>286</v>
      </c>
      <c r="K21" s="567"/>
      <c r="L21" s="568"/>
      <c r="M21" s="566" t="s">
        <v>285</v>
      </c>
      <c r="N21" s="567"/>
      <c r="O21" s="568"/>
    </row>
    <row r="22" spans="2:15" ht="192.75" customHeight="1">
      <c r="B22" s="569" t="str">
        <f>+'Data Entry'!B85</f>
        <v>M3: Contractual arrangements (SRs) </v>
      </c>
      <c r="C22" s="573"/>
      <c r="D22" s="574"/>
      <c r="E22" s="566" t="s">
        <v>402</v>
      </c>
      <c r="F22" s="573"/>
      <c r="G22" s="573"/>
      <c r="H22" s="573"/>
      <c r="I22" s="574"/>
      <c r="J22" s="566" t="s">
        <v>350</v>
      </c>
      <c r="K22" s="567"/>
      <c r="L22" s="568"/>
      <c r="M22" s="566" t="s">
        <v>351</v>
      </c>
      <c r="N22" s="567"/>
      <c r="O22" s="568"/>
    </row>
    <row r="23" spans="2:15" ht="78" customHeight="1">
      <c r="B23" s="569" t="str">
        <f>+'Data Entry'!B90</f>
        <v>M4: Number of complete reports received on time, this reporting period</v>
      </c>
      <c r="C23" s="573"/>
      <c r="D23" s="574"/>
      <c r="E23" s="566" t="s">
        <v>395</v>
      </c>
      <c r="F23" s="567"/>
      <c r="G23" s="567"/>
      <c r="H23" s="567"/>
      <c r="I23" s="568"/>
      <c r="J23" s="566" t="s">
        <v>403</v>
      </c>
      <c r="K23" s="567"/>
      <c r="L23" s="568"/>
      <c r="M23" s="566" t="s">
        <v>287</v>
      </c>
      <c r="N23" s="567"/>
      <c r="O23" s="568"/>
    </row>
    <row r="24" spans="2:15" ht="214.5" customHeight="1">
      <c r="B24" s="575" t="str">
        <f>+'Data Entry'!B96</f>
        <v>M5: Budget and Procurement of health products, health equipment, medicines and pharmaceuticals</v>
      </c>
      <c r="C24" s="576"/>
      <c r="D24" s="577"/>
      <c r="E24" s="629" t="s">
        <v>404</v>
      </c>
      <c r="F24" s="630"/>
      <c r="G24" s="630"/>
      <c r="H24" s="630"/>
      <c r="I24" s="631"/>
      <c r="J24" s="584" t="s">
        <v>283</v>
      </c>
      <c r="K24" s="585"/>
      <c r="L24" s="586"/>
      <c r="M24" s="584" t="s">
        <v>288</v>
      </c>
      <c r="N24" s="585"/>
      <c r="O24" s="586"/>
    </row>
    <row r="25" spans="2:15" ht="91.5" customHeight="1">
      <c r="B25" s="632"/>
      <c r="C25" s="633"/>
      <c r="D25" s="634"/>
      <c r="E25" s="632" t="s">
        <v>405</v>
      </c>
      <c r="F25" s="633"/>
      <c r="G25" s="633"/>
      <c r="H25" s="633"/>
      <c r="I25" s="634"/>
      <c r="J25" s="626"/>
      <c r="K25" s="627"/>
      <c r="L25" s="628"/>
      <c r="M25" s="626"/>
      <c r="N25" s="627"/>
      <c r="O25" s="628"/>
    </row>
    <row r="26" spans="2:15" ht="409.5" customHeight="1">
      <c r="B26" s="569" t="str">
        <f>+'Data Entry'!B109</f>
        <v>M6: Difference between current and safety stock</v>
      </c>
      <c r="C26" s="573"/>
      <c r="D26" s="574"/>
      <c r="E26" s="643" t="s">
        <v>406</v>
      </c>
      <c r="F26" s="644"/>
      <c r="G26" s="644"/>
      <c r="H26" s="644"/>
      <c r="I26" s="645"/>
      <c r="J26" s="621" t="s">
        <v>352</v>
      </c>
      <c r="K26" s="624"/>
      <c r="L26" s="625"/>
      <c r="M26" s="621" t="s">
        <v>357</v>
      </c>
      <c r="N26" s="622"/>
      <c r="O26" s="623"/>
    </row>
    <row r="27" spans="2:15" ht="15">
      <c r="B27" s="291"/>
      <c r="C27" s="291"/>
      <c r="D27" s="291"/>
      <c r="E27" s="291"/>
      <c r="F27" s="291"/>
      <c r="G27" s="291"/>
      <c r="H27" s="291"/>
      <c r="I27" s="291"/>
      <c r="J27" s="291"/>
      <c r="K27" s="291"/>
      <c r="L27" s="291"/>
      <c r="M27" s="291"/>
      <c r="N27" s="292"/>
      <c r="O27" s="292"/>
    </row>
    <row r="28" spans="2:15" ht="15">
      <c r="B28" s="291"/>
      <c r="C28" s="291"/>
      <c r="D28" s="291"/>
      <c r="E28" s="291"/>
      <c r="F28" s="291"/>
      <c r="G28" s="291"/>
      <c r="H28" s="291"/>
      <c r="I28" s="291"/>
      <c r="J28" s="291"/>
      <c r="K28" s="291"/>
      <c r="L28" s="291"/>
      <c r="M28" s="291"/>
      <c r="N28" s="292"/>
      <c r="O28" s="292"/>
    </row>
    <row r="29" spans="2:15" ht="15">
      <c r="B29" s="291"/>
      <c r="C29" s="291"/>
      <c r="D29" s="291"/>
      <c r="E29" s="291"/>
      <c r="F29" s="291"/>
      <c r="G29" s="291"/>
      <c r="H29" s="291"/>
      <c r="I29" s="291"/>
      <c r="J29" s="291"/>
      <c r="K29" s="291"/>
      <c r="L29" s="291"/>
      <c r="M29" s="291"/>
      <c r="N29" s="292"/>
      <c r="O29" s="292"/>
    </row>
    <row r="30" spans="2:15" ht="15">
      <c r="B30" s="293"/>
      <c r="C30" s="291"/>
      <c r="D30" s="291"/>
      <c r="E30" s="291"/>
      <c r="F30" s="291"/>
      <c r="G30" s="291"/>
      <c r="H30" s="291"/>
      <c r="I30" s="291"/>
      <c r="J30" s="291"/>
      <c r="K30" s="291"/>
      <c r="L30" s="291"/>
      <c r="M30" s="291"/>
      <c r="N30" s="292"/>
      <c r="O30" s="292"/>
    </row>
    <row r="31" spans="2:15" ht="15">
      <c r="B31" s="592" t="s">
        <v>303</v>
      </c>
      <c r="C31" s="592"/>
      <c r="D31" s="592"/>
      <c r="E31" s="592"/>
      <c r="F31" s="592"/>
      <c r="G31" s="592"/>
      <c r="H31" s="592"/>
      <c r="I31" s="592"/>
      <c r="J31" s="592"/>
      <c r="K31" s="592"/>
      <c r="L31" s="592"/>
      <c r="M31" s="592"/>
      <c r="N31" s="592"/>
      <c r="O31" s="592"/>
    </row>
    <row r="32" spans="2:15" ht="15">
      <c r="B32" s="291"/>
      <c r="C32" s="291"/>
      <c r="D32" s="291"/>
      <c r="E32" s="291"/>
      <c r="F32" s="291"/>
      <c r="G32" s="291"/>
      <c r="H32" s="291"/>
      <c r="I32" s="291"/>
      <c r="J32" s="291"/>
      <c r="K32" s="291"/>
      <c r="L32" s="291"/>
      <c r="M32" s="291"/>
      <c r="N32" s="292"/>
      <c r="O32" s="292"/>
    </row>
    <row r="33" spans="1:15" ht="28.5" customHeight="1">
      <c r="A33" s="201"/>
      <c r="B33" s="608" t="s">
        <v>342</v>
      </c>
      <c r="C33" s="609"/>
      <c r="D33" s="610"/>
      <c r="E33" s="611" t="s">
        <v>309</v>
      </c>
      <c r="F33" s="609"/>
      <c r="G33" s="609"/>
      <c r="H33" s="609"/>
      <c r="I33" s="610"/>
      <c r="J33" s="611" t="s">
        <v>281</v>
      </c>
      <c r="K33" s="609"/>
      <c r="L33" s="610"/>
      <c r="M33" s="611" t="s">
        <v>282</v>
      </c>
      <c r="N33" s="609"/>
      <c r="O33" s="610"/>
    </row>
    <row r="34" spans="1:15" ht="47.25" customHeight="1">
      <c r="A34" s="202"/>
      <c r="B34" s="635"/>
      <c r="C34" s="636"/>
      <c r="D34" s="637"/>
      <c r="E34" s="640"/>
      <c r="F34" s="641"/>
      <c r="G34" s="641"/>
      <c r="H34" s="641"/>
      <c r="I34" s="642"/>
      <c r="J34" s="618"/>
      <c r="K34" s="619"/>
      <c r="L34" s="620"/>
      <c r="M34" s="618"/>
      <c r="N34" s="619"/>
      <c r="O34" s="620"/>
    </row>
    <row r="35" spans="1:15" ht="59.25" customHeight="1">
      <c r="A35" s="202"/>
      <c r="B35" s="635"/>
      <c r="C35" s="636"/>
      <c r="D35" s="637"/>
      <c r="E35" s="640"/>
      <c r="F35" s="641"/>
      <c r="G35" s="641"/>
      <c r="H35" s="641"/>
      <c r="I35" s="642"/>
      <c r="J35" s="618"/>
      <c r="K35" s="619"/>
      <c r="L35" s="620"/>
      <c r="M35" s="618"/>
      <c r="N35" s="619"/>
      <c r="O35" s="620"/>
    </row>
    <row r="36" spans="1:15" ht="57.75" customHeight="1">
      <c r="A36" s="202"/>
      <c r="B36" s="635"/>
      <c r="C36" s="636"/>
      <c r="D36" s="637"/>
      <c r="E36" s="618"/>
      <c r="F36" s="619"/>
      <c r="G36" s="619"/>
      <c r="H36" s="619"/>
      <c r="I36" s="620"/>
      <c r="J36" s="618"/>
      <c r="K36" s="619"/>
      <c r="L36" s="620"/>
      <c r="M36" s="618"/>
      <c r="N36" s="619"/>
      <c r="O36" s="620"/>
    </row>
    <row r="37" spans="1:15" ht="9.75" customHeight="1">
      <c r="A37" s="202"/>
      <c r="B37" s="655"/>
      <c r="C37" s="656"/>
      <c r="D37" s="657"/>
      <c r="E37" s="300"/>
      <c r="F37" s="301"/>
      <c r="G37" s="301"/>
      <c r="H37" s="301"/>
      <c r="I37" s="302"/>
      <c r="J37" s="303"/>
      <c r="K37" s="304"/>
      <c r="L37" s="305"/>
      <c r="M37" s="303"/>
      <c r="N37" s="304"/>
      <c r="O37" s="305"/>
    </row>
    <row r="38" spans="1:15" ht="46.5" customHeight="1">
      <c r="A38" s="202"/>
      <c r="B38" s="635"/>
      <c r="C38" s="636"/>
      <c r="D38" s="637"/>
      <c r="E38" s="618"/>
      <c r="F38" s="638"/>
      <c r="G38" s="638"/>
      <c r="H38" s="638"/>
      <c r="I38" s="639"/>
      <c r="J38" s="297"/>
      <c r="K38" s="298"/>
      <c r="L38" s="299"/>
      <c r="M38" s="297"/>
      <c r="N38" s="298"/>
      <c r="O38" s="299"/>
    </row>
    <row r="39" spans="1:15" ht="69" customHeight="1">
      <c r="A39" s="202"/>
      <c r="B39" s="635"/>
      <c r="C39" s="636"/>
      <c r="D39" s="637"/>
      <c r="E39" s="640"/>
      <c r="F39" s="641"/>
      <c r="G39" s="641"/>
      <c r="H39" s="641"/>
      <c r="I39" s="642"/>
      <c r="J39" s="618"/>
      <c r="K39" s="619"/>
      <c r="L39" s="620"/>
      <c r="M39" s="618"/>
      <c r="N39" s="619"/>
      <c r="O39" s="620"/>
    </row>
    <row r="40" spans="1:15" ht="64.5" customHeight="1">
      <c r="A40" s="202"/>
      <c r="B40" s="635"/>
      <c r="C40" s="636"/>
      <c r="D40" s="637"/>
      <c r="E40" s="618"/>
      <c r="F40" s="619"/>
      <c r="G40" s="619"/>
      <c r="H40" s="619"/>
      <c r="I40" s="620"/>
      <c r="J40" s="297"/>
      <c r="K40" s="298"/>
      <c r="L40" s="299"/>
      <c r="M40" s="297"/>
      <c r="N40" s="298"/>
      <c r="O40" s="299"/>
    </row>
    <row r="41" spans="1:15" ht="45" customHeight="1">
      <c r="A41" s="202"/>
      <c r="B41" s="652"/>
      <c r="C41" s="653"/>
      <c r="D41" s="654"/>
      <c r="E41" s="649"/>
      <c r="F41" s="650"/>
      <c r="G41" s="650"/>
      <c r="H41" s="650"/>
      <c r="I41" s="651"/>
      <c r="J41" s="618"/>
      <c r="K41" s="619"/>
      <c r="L41" s="620"/>
      <c r="M41" s="618"/>
      <c r="N41" s="619"/>
      <c r="O41" s="620"/>
    </row>
    <row r="42" spans="1:15" ht="62.25" customHeight="1">
      <c r="A42" s="202"/>
      <c r="B42" s="646"/>
      <c r="C42" s="647"/>
      <c r="D42" s="648"/>
      <c r="E42" s="640"/>
      <c r="F42" s="641"/>
      <c r="G42" s="641"/>
      <c r="H42" s="641"/>
      <c r="I42" s="642"/>
      <c r="J42" s="618"/>
      <c r="K42" s="619"/>
      <c r="L42" s="620"/>
      <c r="M42" s="618"/>
      <c r="N42" s="619"/>
      <c r="O42" s="620"/>
    </row>
    <row r="43" spans="1:15" ht="84" customHeight="1">
      <c r="A43" s="202"/>
      <c r="B43" s="646"/>
      <c r="C43" s="647"/>
      <c r="D43" s="648"/>
      <c r="E43" s="618"/>
      <c r="F43" s="619"/>
      <c r="G43" s="619"/>
      <c r="H43" s="619"/>
      <c r="I43" s="620"/>
      <c r="J43" s="297"/>
      <c r="K43" s="298"/>
      <c r="L43" s="299"/>
      <c r="M43" s="297"/>
      <c r="N43" s="298"/>
      <c r="O43" s="299"/>
    </row>
    <row r="44" spans="1:15" ht="45" customHeight="1">
      <c r="A44" s="202"/>
      <c r="B44" s="646"/>
      <c r="C44" s="647"/>
      <c r="D44" s="648"/>
      <c r="E44" s="640"/>
      <c r="F44" s="641"/>
      <c r="G44" s="641"/>
      <c r="H44" s="641"/>
      <c r="I44" s="642"/>
      <c r="J44" s="618"/>
      <c r="K44" s="619"/>
      <c r="L44" s="620"/>
      <c r="M44" s="297"/>
      <c r="N44" s="298"/>
      <c r="O44" s="299"/>
    </row>
    <row r="45" spans="1:15" ht="64.5" customHeight="1">
      <c r="A45" s="202"/>
      <c r="B45" s="652"/>
      <c r="C45" s="653"/>
      <c r="D45" s="654"/>
      <c r="E45" s="640"/>
      <c r="F45" s="641"/>
      <c r="G45" s="641"/>
      <c r="H45" s="641"/>
      <c r="I45" s="642"/>
      <c r="J45" s="618"/>
      <c r="K45" s="619"/>
      <c r="L45" s="620"/>
      <c r="M45" s="297"/>
      <c r="N45" s="298"/>
      <c r="O45" s="299"/>
    </row>
    <row r="46" spans="2:15" ht="49.5" customHeight="1">
      <c r="B46" s="652"/>
      <c r="C46" s="653"/>
      <c r="D46" s="654"/>
      <c r="E46" s="640"/>
      <c r="F46" s="641"/>
      <c r="G46" s="641"/>
      <c r="H46" s="641"/>
      <c r="I46" s="642"/>
      <c r="J46" s="618"/>
      <c r="K46" s="619"/>
      <c r="L46" s="620"/>
      <c r="M46" s="297"/>
      <c r="N46" s="298"/>
      <c r="O46" s="299"/>
    </row>
    <row r="47" spans="2:15" ht="30" customHeight="1">
      <c r="B47" s="635"/>
      <c r="C47" s="636"/>
      <c r="D47" s="637"/>
      <c r="E47" s="294"/>
      <c r="F47" s="295"/>
      <c r="G47" s="295"/>
      <c r="H47" s="295"/>
      <c r="I47" s="296"/>
      <c r="J47" s="297"/>
      <c r="K47" s="298"/>
      <c r="L47" s="299"/>
      <c r="M47" s="297"/>
      <c r="N47" s="298"/>
      <c r="O47" s="299"/>
    </row>
    <row r="48" spans="2:15" ht="19.5" customHeight="1">
      <c r="B48" s="615" t="s">
        <v>304</v>
      </c>
      <c r="C48" s="616"/>
      <c r="D48" s="617"/>
      <c r="E48" s="615" t="s">
        <v>280</v>
      </c>
      <c r="F48" s="616"/>
      <c r="G48" s="616"/>
      <c r="H48" s="616"/>
      <c r="I48" s="617"/>
      <c r="J48" s="615" t="s">
        <v>281</v>
      </c>
      <c r="K48" s="616"/>
      <c r="L48" s="617"/>
      <c r="M48" s="615" t="s">
        <v>282</v>
      </c>
      <c r="N48" s="616"/>
      <c r="O48" s="617"/>
    </row>
    <row r="49" spans="2:15" ht="33.75" customHeight="1">
      <c r="B49" s="306"/>
      <c r="C49" s="307"/>
      <c r="D49" s="307"/>
      <c r="E49" s="308"/>
      <c r="F49" s="309"/>
      <c r="G49" s="309"/>
      <c r="H49" s="309"/>
      <c r="I49" s="309"/>
      <c r="J49" s="308"/>
      <c r="K49" s="308"/>
      <c r="L49" s="310"/>
      <c r="M49" s="311"/>
      <c r="N49" s="308"/>
      <c r="O49" s="310"/>
    </row>
    <row r="50" spans="2:15" ht="15.75" customHeight="1">
      <c r="B50" s="612" t="s">
        <v>301</v>
      </c>
      <c r="C50" s="613"/>
      <c r="D50" s="613"/>
      <c r="E50" s="613"/>
      <c r="F50" s="613"/>
      <c r="G50" s="613"/>
      <c r="H50" s="613"/>
      <c r="I50" s="613"/>
      <c r="J50" s="613"/>
      <c r="K50" s="613"/>
      <c r="L50" s="614"/>
      <c r="M50" s="605" t="s">
        <v>291</v>
      </c>
      <c r="N50" s="606"/>
      <c r="O50" s="607"/>
    </row>
    <row r="51" ht="15">
      <c r="D51" s="187"/>
    </row>
    <row r="53" ht="15">
      <c r="D53" s="187"/>
    </row>
    <row r="54" ht="15">
      <c r="D54" s="187"/>
    </row>
  </sheetData>
  <sheetProtection password="CFC9" sheet="1"/>
  <mergeCells count="121">
    <mergeCell ref="B47:D47"/>
    <mergeCell ref="J44:L44"/>
    <mergeCell ref="J45:L45"/>
    <mergeCell ref="J46:L46"/>
    <mergeCell ref="E45:I45"/>
    <mergeCell ref="B45:D45"/>
    <mergeCell ref="B46:D46"/>
    <mergeCell ref="E46:I46"/>
    <mergeCell ref="M41:O41"/>
    <mergeCell ref="B40:D40"/>
    <mergeCell ref="M39:O39"/>
    <mergeCell ref="E40:I40"/>
    <mergeCell ref="E43:I43"/>
    <mergeCell ref="B44:D44"/>
    <mergeCell ref="E44:I44"/>
    <mergeCell ref="E42:I42"/>
    <mergeCell ref="J41:L41"/>
    <mergeCell ref="B38:D38"/>
    <mergeCell ref="B43:D43"/>
    <mergeCell ref="E41:I41"/>
    <mergeCell ref="B42:D42"/>
    <mergeCell ref="B41:D41"/>
    <mergeCell ref="J36:L36"/>
    <mergeCell ref="B39:D39"/>
    <mergeCell ref="E39:I39"/>
    <mergeCell ref="J39:L39"/>
    <mergeCell ref="B37:D37"/>
    <mergeCell ref="E38:I38"/>
    <mergeCell ref="E36:I36"/>
    <mergeCell ref="M36:O36"/>
    <mergeCell ref="M24:O25"/>
    <mergeCell ref="B26:D26"/>
    <mergeCell ref="B34:D34"/>
    <mergeCell ref="B35:D35"/>
    <mergeCell ref="E34:I34"/>
    <mergeCell ref="E35:I35"/>
    <mergeCell ref="E26:I26"/>
    <mergeCell ref="E25:I25"/>
    <mergeCell ref="B36:D36"/>
    <mergeCell ref="J23:L23"/>
    <mergeCell ref="M23:O23"/>
    <mergeCell ref="M34:O34"/>
    <mergeCell ref="M35:O35"/>
    <mergeCell ref="J34:L34"/>
    <mergeCell ref="J35:L35"/>
    <mergeCell ref="B23:D23"/>
    <mergeCell ref="B24:D25"/>
    <mergeCell ref="E24:I24"/>
    <mergeCell ref="E23:I23"/>
    <mergeCell ref="B21:D21"/>
    <mergeCell ref="E21:I21"/>
    <mergeCell ref="B22:D22"/>
    <mergeCell ref="E22:I22"/>
    <mergeCell ref="M48:O48"/>
    <mergeCell ref="J42:L42"/>
    <mergeCell ref="J21:L21"/>
    <mergeCell ref="M21:O21"/>
    <mergeCell ref="M26:O26"/>
    <mergeCell ref="J26:L26"/>
    <mergeCell ref="J22:L22"/>
    <mergeCell ref="M22:O22"/>
    <mergeCell ref="M42:O42"/>
    <mergeCell ref="J24:L25"/>
    <mergeCell ref="M50:O50"/>
    <mergeCell ref="B31:O31"/>
    <mergeCell ref="B33:D33"/>
    <mergeCell ref="E33:I33"/>
    <mergeCell ref="J33:L33"/>
    <mergeCell ref="M33:O33"/>
    <mergeCell ref="B50:L50"/>
    <mergeCell ref="B48:D48"/>
    <mergeCell ref="E48:I48"/>
    <mergeCell ref="J48:L48"/>
    <mergeCell ref="M19:O19"/>
    <mergeCell ref="B19:D19"/>
    <mergeCell ref="B16:D16"/>
    <mergeCell ref="B14:D14"/>
    <mergeCell ref="B17:O17"/>
    <mergeCell ref="J16:L16"/>
    <mergeCell ref="E14:I14"/>
    <mergeCell ref="J14:L14"/>
    <mergeCell ref="E13:I13"/>
    <mergeCell ref="J15:L15"/>
    <mergeCell ref="M15:O15"/>
    <mergeCell ref="E15:I15"/>
    <mergeCell ref="J20:L20"/>
    <mergeCell ref="E19:I19"/>
    <mergeCell ref="J19:L19"/>
    <mergeCell ref="M20:O20"/>
    <mergeCell ref="M16:O16"/>
    <mergeCell ref="M14:O14"/>
    <mergeCell ref="B2:M2"/>
    <mergeCell ref="B5:O5"/>
    <mergeCell ref="M8:O8"/>
    <mergeCell ref="J8:L8"/>
    <mergeCell ref="E7:I7"/>
    <mergeCell ref="B7:D7"/>
    <mergeCell ref="E8:I8"/>
    <mergeCell ref="J7:L7"/>
    <mergeCell ref="M7:O7"/>
    <mergeCell ref="B8:D8"/>
    <mergeCell ref="E20:I20"/>
    <mergeCell ref="B15:D15"/>
    <mergeCell ref="J12:L12"/>
    <mergeCell ref="M12:O12"/>
    <mergeCell ref="E11:I11"/>
    <mergeCell ref="E10:I10"/>
    <mergeCell ref="J10:L10"/>
    <mergeCell ref="M10:O10"/>
    <mergeCell ref="J13:L13"/>
    <mergeCell ref="M13:O13"/>
    <mergeCell ref="M9:O9"/>
    <mergeCell ref="B9:D9"/>
    <mergeCell ref="E9:I9"/>
    <mergeCell ref="J9:L9"/>
    <mergeCell ref="B20:D20"/>
    <mergeCell ref="B12:D12"/>
    <mergeCell ref="B10:D10"/>
    <mergeCell ref="E12:I12"/>
    <mergeCell ref="B13:D13"/>
    <mergeCell ref="E16:I16"/>
  </mergeCells>
  <printOptions/>
  <pageMargins left="0.7086614173228347" right="0.62" top="0.7480314960629921" bottom="0.7480314960629921" header="0.31496062992125984" footer="0.31496062992125984"/>
  <pageSetup horizontalDpi="600" verticalDpi="600" orientation="landscape" paperSize="9" r:id="rId2"/>
  <headerFooter alignWithMargins="0">
    <oddFooter>&amp;L&amp;F&amp;C&amp;A&amp;RV1.0          &amp;D</oddFooter>
  </headerFooter>
  <rowBreaks count="2" manualBreakCount="2">
    <brk id="16" max="255" man="1"/>
    <brk id="29" max="255"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1:AJ156"/>
  <sheetViews>
    <sheetView showGridLines="0" tabSelected="1" view="pageBreakPreview" zoomScale="90" zoomScaleSheetLayoutView="90" workbookViewId="0" topLeftCell="A27">
      <selection activeCell="B153" sqref="B153"/>
    </sheetView>
  </sheetViews>
  <sheetFormatPr defaultColWidth="11.00390625" defaultRowHeight="15"/>
  <cols>
    <col min="1" max="1" width="2.7109375" style="0" customWidth="1"/>
    <col min="2" max="2" width="42.00390625" style="0" customWidth="1"/>
    <col min="3" max="3" width="23.00390625" style="370" customWidth="1"/>
    <col min="4" max="4" width="21.28125" style="370" customWidth="1"/>
    <col min="5" max="5" width="16.421875" style="370" customWidth="1"/>
    <col min="6" max="6" width="17.421875" style="370" customWidth="1"/>
    <col min="7" max="7" width="16.421875" style="370" customWidth="1"/>
    <col min="8" max="8" width="17.57421875" style="370" customWidth="1"/>
    <col min="9" max="9" width="16.28125" style="370" customWidth="1"/>
    <col min="10" max="10" width="16.8515625" style="370" customWidth="1"/>
    <col min="11" max="11" width="16.00390625" style="370" customWidth="1"/>
    <col min="12" max="12" width="17.00390625" style="370" customWidth="1"/>
    <col min="13" max="13" width="17.28125" style="370" customWidth="1"/>
    <col min="14" max="14" width="17.7109375" style="333" customWidth="1"/>
    <col min="15" max="15" width="15.57421875" style="35" customWidth="1"/>
    <col min="16" max="16" width="19.421875" style="524" customWidth="1"/>
    <col min="17" max="17" width="16.140625" style="524" customWidth="1"/>
    <col min="18" max="18" width="13.7109375" style="0" customWidth="1"/>
    <col min="19" max="19" width="14.57421875" style="524"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5" customWidth="1"/>
    <col min="35" max="35" width="3.28125" style="35" customWidth="1"/>
    <col min="36" max="36" width="2.28125" style="35" customWidth="1"/>
    <col min="37" max="37" width="40.7109375" style="0" customWidth="1"/>
    <col min="38" max="38" width="15.421875" style="0" customWidth="1"/>
  </cols>
  <sheetData>
    <row r="1" spans="1:13" ht="29.25" customHeight="1">
      <c r="A1" s="3"/>
      <c r="B1" s="3"/>
      <c r="C1" s="331"/>
      <c r="D1" s="331"/>
      <c r="E1" s="332" t="s">
        <v>407</v>
      </c>
      <c r="F1" s="331"/>
      <c r="G1" s="331"/>
      <c r="H1" s="331"/>
      <c r="I1" s="331"/>
      <c r="J1" s="331"/>
      <c r="K1" s="331"/>
      <c r="L1" s="331"/>
      <c r="M1" s="331"/>
    </row>
    <row r="2" spans="1:13" ht="15.75" customHeight="1">
      <c r="A2" s="3"/>
      <c r="B2" s="717" t="s">
        <v>365</v>
      </c>
      <c r="C2" s="717"/>
      <c r="D2" s="717"/>
      <c r="E2" s="717"/>
      <c r="F2" s="717"/>
      <c r="G2" s="717"/>
      <c r="H2" s="717"/>
      <c r="I2" s="717"/>
      <c r="J2" s="717"/>
      <c r="K2" s="334"/>
      <c r="L2" s="334"/>
      <c r="M2" s="334"/>
    </row>
    <row r="3" spans="1:13" ht="4.5" customHeight="1">
      <c r="A3" s="3"/>
      <c r="B3" s="3"/>
      <c r="C3" s="331"/>
      <c r="D3" s="331"/>
      <c r="E3" s="331"/>
      <c r="F3" s="331"/>
      <c r="G3" s="331"/>
      <c r="H3" s="331"/>
      <c r="I3" s="331"/>
      <c r="J3" s="331"/>
      <c r="K3" s="331"/>
      <c r="L3" s="331"/>
      <c r="M3" s="331"/>
    </row>
    <row r="4" spans="1:13" ht="15">
      <c r="A4" s="3"/>
      <c r="B4" s="208" t="s">
        <v>33</v>
      </c>
      <c r="C4" s="718" t="s">
        <v>184</v>
      </c>
      <c r="D4" s="719"/>
      <c r="E4" s="681" t="s">
        <v>19</v>
      </c>
      <c r="F4" s="681"/>
      <c r="G4" s="718" t="s">
        <v>418</v>
      </c>
      <c r="H4" s="720"/>
      <c r="I4" s="720"/>
      <c r="J4" s="719"/>
      <c r="K4" s="331"/>
      <c r="L4" s="331"/>
      <c r="M4" s="331"/>
    </row>
    <row r="5" spans="1:13" ht="3" customHeight="1">
      <c r="A5" s="3"/>
      <c r="B5" s="208"/>
      <c r="C5" s="331"/>
      <c r="D5" s="331"/>
      <c r="E5" s="336"/>
      <c r="F5" s="336"/>
      <c r="G5" s="331"/>
      <c r="H5" s="331"/>
      <c r="I5" s="331"/>
      <c r="J5" s="331"/>
      <c r="K5" s="331"/>
      <c r="L5" s="331"/>
      <c r="M5" s="331"/>
    </row>
    <row r="6" spans="1:13" ht="15">
      <c r="A6" s="3"/>
      <c r="B6" s="208" t="s">
        <v>123</v>
      </c>
      <c r="C6" s="718" t="s">
        <v>426</v>
      </c>
      <c r="D6" s="719"/>
      <c r="E6" s="681" t="s">
        <v>34</v>
      </c>
      <c r="F6" s="681"/>
      <c r="G6" s="337" t="s">
        <v>35</v>
      </c>
      <c r="H6" s="335" t="s">
        <v>427</v>
      </c>
      <c r="I6" s="721">
        <v>27994442</v>
      </c>
      <c r="J6" s="722"/>
      <c r="K6" s="331"/>
      <c r="L6" s="331"/>
      <c r="M6" s="331"/>
    </row>
    <row r="7" spans="1:13" ht="23.25" customHeight="1">
      <c r="A7" s="3"/>
      <c r="B7" s="208"/>
      <c r="C7" s="331"/>
      <c r="D7" s="331"/>
      <c r="E7" s="336"/>
      <c r="F7" s="336"/>
      <c r="G7" s="338"/>
      <c r="H7" s="335"/>
      <c r="I7" s="331"/>
      <c r="J7" s="331"/>
      <c r="K7" s="331"/>
      <c r="L7" s="331"/>
      <c r="M7" s="331"/>
    </row>
    <row r="8" spans="1:13" ht="15">
      <c r="A8" s="3"/>
      <c r="B8" s="208" t="s">
        <v>275</v>
      </c>
      <c r="C8" s="718" t="s">
        <v>433</v>
      </c>
      <c r="D8" s="719"/>
      <c r="E8" s="339"/>
      <c r="F8" s="340" t="s">
        <v>327</v>
      </c>
      <c r="G8" s="550" t="s">
        <v>434</v>
      </c>
      <c r="H8" s="340" t="s">
        <v>326</v>
      </c>
      <c r="I8" s="721"/>
      <c r="J8" s="722"/>
      <c r="K8" s="331"/>
      <c r="L8" s="331"/>
      <c r="M8" s="331"/>
    </row>
    <row r="9" spans="1:13" ht="15">
      <c r="A9" s="3"/>
      <c r="B9" s="209"/>
      <c r="C9" s="331"/>
      <c r="D9" s="331"/>
      <c r="E9" s="336"/>
      <c r="F9" s="336"/>
      <c r="G9" s="331"/>
      <c r="H9" s="331"/>
      <c r="I9" s="331"/>
      <c r="J9" s="331"/>
      <c r="K9" s="331"/>
      <c r="L9" s="331"/>
      <c r="M9" s="331"/>
    </row>
    <row r="10" spans="1:13" ht="15">
      <c r="A10" s="3"/>
      <c r="B10" s="208" t="s">
        <v>391</v>
      </c>
      <c r="C10" s="742">
        <v>42186</v>
      </c>
      <c r="D10" s="743"/>
      <c r="E10" s="740" t="s">
        <v>38</v>
      </c>
      <c r="F10" s="741"/>
      <c r="G10" s="721" t="s">
        <v>64</v>
      </c>
      <c r="H10" s="726"/>
      <c r="I10" s="726"/>
      <c r="J10" s="722"/>
      <c r="K10" s="331"/>
      <c r="L10" s="331"/>
      <c r="M10" s="331"/>
    </row>
    <row r="11" spans="1:13" ht="15">
      <c r="A11" s="3"/>
      <c r="B11" s="3"/>
      <c r="C11" s="331"/>
      <c r="D11" s="331"/>
      <c r="E11" s="331"/>
      <c r="F11" s="331"/>
      <c r="G11" s="331"/>
      <c r="H11" s="331"/>
      <c r="I11" s="331"/>
      <c r="J11" s="331"/>
      <c r="K11" s="331"/>
      <c r="L11" s="331"/>
      <c r="M11" s="331"/>
    </row>
    <row r="12" spans="1:13" ht="15" customHeight="1">
      <c r="A12" s="3"/>
      <c r="B12" s="208" t="s">
        <v>36</v>
      </c>
      <c r="C12" s="744"/>
      <c r="D12" s="744"/>
      <c r="E12" s="740" t="s">
        <v>295</v>
      </c>
      <c r="F12" s="681"/>
      <c r="G12" s="723" t="s">
        <v>432</v>
      </c>
      <c r="H12" s="724"/>
      <c r="I12" s="724"/>
      <c r="J12" s="725"/>
      <c r="K12" s="331"/>
      <c r="L12" s="331"/>
      <c r="M12" s="331"/>
    </row>
    <row r="13" spans="1:13" ht="5.25" customHeight="1">
      <c r="A13" s="3"/>
      <c r="B13" s="3"/>
      <c r="C13" s="331"/>
      <c r="D13" s="331"/>
      <c r="E13" s="331"/>
      <c r="F13" s="331"/>
      <c r="G13" s="331"/>
      <c r="H13" s="331"/>
      <c r="I13" s="331"/>
      <c r="J13" s="331"/>
      <c r="K13" s="331"/>
      <c r="L13" s="331"/>
      <c r="M13" s="331"/>
    </row>
    <row r="14" spans="1:13" ht="15.75" customHeight="1">
      <c r="A14" s="3"/>
      <c r="B14" s="717" t="s">
        <v>7</v>
      </c>
      <c r="C14" s="717"/>
      <c r="D14" s="717"/>
      <c r="E14" s="717"/>
      <c r="F14" s="717"/>
      <c r="G14" s="717"/>
      <c r="H14" s="717"/>
      <c r="I14" s="717"/>
      <c r="J14" s="717"/>
      <c r="K14" s="331"/>
      <c r="L14" s="331"/>
      <c r="M14" s="331"/>
    </row>
    <row r="15" spans="1:13" ht="3" customHeight="1">
      <c r="A15" s="3"/>
      <c r="B15" s="3"/>
      <c r="C15" s="331"/>
      <c r="D15" s="331"/>
      <c r="E15" s="331"/>
      <c r="F15" s="331"/>
      <c r="G15" s="331"/>
      <c r="H15" s="331"/>
      <c r="I15" s="331"/>
      <c r="J15" s="331"/>
      <c r="K15" s="331"/>
      <c r="L15" s="331"/>
      <c r="M15" s="331"/>
    </row>
    <row r="16" spans="1:13" ht="15">
      <c r="A16" s="3"/>
      <c r="B16" s="208" t="s">
        <v>28</v>
      </c>
      <c r="C16" s="504" t="s">
        <v>113</v>
      </c>
      <c r="D16" s="340" t="s">
        <v>328</v>
      </c>
      <c r="E16" s="498">
        <v>42186</v>
      </c>
      <c r="F16" s="341" t="s">
        <v>15</v>
      </c>
      <c r="G16" s="498">
        <v>42277</v>
      </c>
      <c r="H16" s="740" t="s">
        <v>329</v>
      </c>
      <c r="I16" s="741"/>
      <c r="J16" s="499">
        <v>42317</v>
      </c>
      <c r="K16" s="331"/>
      <c r="L16" s="331"/>
      <c r="M16" s="331"/>
    </row>
    <row r="17" spans="1:13" ht="3" customHeight="1">
      <c r="A17" s="3"/>
      <c r="B17" s="3"/>
      <c r="C17" s="331"/>
      <c r="D17" s="331"/>
      <c r="E17" s="331"/>
      <c r="F17" s="331"/>
      <c r="G17" s="331"/>
      <c r="H17" s="331"/>
      <c r="I17" s="331"/>
      <c r="J17" s="331"/>
      <c r="K17" s="331"/>
      <c r="L17" s="331"/>
      <c r="M17" s="331"/>
    </row>
    <row r="18" spans="1:13" ht="15">
      <c r="A18" s="3"/>
      <c r="B18" s="727" t="s">
        <v>39</v>
      </c>
      <c r="C18" s="728"/>
      <c r="D18" s="721" t="s">
        <v>431</v>
      </c>
      <c r="E18" s="726"/>
      <c r="F18" s="722"/>
      <c r="G18" s="342"/>
      <c r="H18" s="342"/>
      <c r="I18" s="342"/>
      <c r="J18" s="342"/>
      <c r="K18" s="331"/>
      <c r="L18" s="331"/>
      <c r="M18" s="331"/>
    </row>
    <row r="19" spans="1:13" ht="3" customHeight="1">
      <c r="A19" s="3"/>
      <c r="B19" s="3"/>
      <c r="C19" s="331"/>
      <c r="D19" s="331"/>
      <c r="E19" s="331"/>
      <c r="F19" s="331"/>
      <c r="G19" s="331"/>
      <c r="H19" s="331"/>
      <c r="I19" s="331"/>
      <c r="J19" s="331"/>
      <c r="K19" s="331"/>
      <c r="L19" s="331"/>
      <c r="M19" s="331"/>
    </row>
    <row r="20" spans="1:13" ht="5.25" customHeight="1">
      <c r="A20" s="3"/>
      <c r="B20" s="3"/>
      <c r="C20" s="331"/>
      <c r="D20" s="331"/>
      <c r="E20" s="331"/>
      <c r="F20" s="331"/>
      <c r="G20" s="331"/>
      <c r="H20" s="331"/>
      <c r="I20" s="331"/>
      <c r="J20" s="331"/>
      <c r="K20" s="331"/>
      <c r="L20" s="331"/>
      <c r="M20" s="331"/>
    </row>
    <row r="21" spans="1:13" ht="15.75" customHeight="1">
      <c r="A21" s="3"/>
      <c r="B21" s="717" t="s">
        <v>353</v>
      </c>
      <c r="C21" s="717"/>
      <c r="D21" s="717"/>
      <c r="E21" s="717"/>
      <c r="F21" s="717"/>
      <c r="G21" s="717"/>
      <c r="H21" s="717"/>
      <c r="I21" s="717"/>
      <c r="J21" s="717"/>
      <c r="K21" s="331"/>
      <c r="L21" s="331"/>
      <c r="M21" s="331"/>
    </row>
    <row r="22" spans="1:13" ht="15">
      <c r="A22" s="3"/>
      <c r="B22" s="209" t="s">
        <v>8</v>
      </c>
      <c r="C22" s="331"/>
      <c r="D22" s="331"/>
      <c r="E22" s="343"/>
      <c r="F22" s="343"/>
      <c r="G22" s="331"/>
      <c r="H22" s="331"/>
      <c r="I22" s="343"/>
      <c r="J22" s="343"/>
      <c r="K22" s="331"/>
      <c r="L22" s="331"/>
      <c r="M22" s="331"/>
    </row>
    <row r="23" spans="1:13" ht="3" customHeight="1">
      <c r="A23" s="3"/>
      <c r="B23" s="3"/>
      <c r="C23" s="331"/>
      <c r="D23" s="331"/>
      <c r="E23" s="331"/>
      <c r="F23" s="331"/>
      <c r="G23" s="331"/>
      <c r="H23" s="331"/>
      <c r="I23" s="331"/>
      <c r="J23" s="331"/>
      <c r="K23" s="331"/>
      <c r="L23" s="331"/>
      <c r="M23" s="331"/>
    </row>
    <row r="24" spans="1:14" ht="15.75" thickBot="1">
      <c r="A24" s="3"/>
      <c r="B24" s="208" t="s">
        <v>386</v>
      </c>
      <c r="C24" s="344"/>
      <c r="D24" s="681" t="s">
        <v>387</v>
      </c>
      <c r="E24" s="681"/>
      <c r="F24" s="345"/>
      <c r="G24" s="681" t="s">
        <v>388</v>
      </c>
      <c r="H24" s="681"/>
      <c r="I24" s="692"/>
      <c r="J24" s="693"/>
      <c r="K24" s="331"/>
      <c r="L24" s="331"/>
      <c r="M24" s="331"/>
      <c r="N24" s="346"/>
    </row>
    <row r="25" spans="1:35" ht="16.5" customHeight="1" thickBot="1">
      <c r="A25" s="3"/>
      <c r="B25" s="82" t="s">
        <v>386</v>
      </c>
      <c r="C25" s="347"/>
      <c r="D25" s="347"/>
      <c r="E25" s="347"/>
      <c r="F25" s="347"/>
      <c r="G25" s="347"/>
      <c r="H25" s="348"/>
      <c r="I25" s="349"/>
      <c r="J25" s="349"/>
      <c r="K25" s="348" t="s">
        <v>330</v>
      </c>
      <c r="L25" s="347"/>
      <c r="M25" s="347"/>
      <c r="N25" s="350"/>
      <c r="O25" s="37"/>
      <c r="AI25" s="39"/>
    </row>
    <row r="26" spans="1:35" ht="15">
      <c r="A26" s="3"/>
      <c r="B26" s="694" t="s">
        <v>361</v>
      </c>
      <c r="C26" s="695"/>
      <c r="D26" s="351" t="s">
        <v>26</v>
      </c>
      <c r="E26" s="352"/>
      <c r="F26" s="352"/>
      <c r="G26" s="352"/>
      <c r="H26" s="352"/>
      <c r="I26" s="352"/>
      <c r="J26" s="353"/>
      <c r="K26" s="352"/>
      <c r="L26" s="352"/>
      <c r="M26" s="352"/>
      <c r="N26" s="354"/>
      <c r="O26" s="37"/>
      <c r="AI26" s="39"/>
    </row>
    <row r="27" spans="1:35" ht="18.75">
      <c r="A27" s="3"/>
      <c r="B27" s="83" t="s">
        <v>371</v>
      </c>
      <c r="C27" s="352"/>
      <c r="D27" s="352"/>
      <c r="E27" s="352"/>
      <c r="F27" s="352"/>
      <c r="G27" s="352"/>
      <c r="H27" s="352"/>
      <c r="I27" s="352"/>
      <c r="J27" s="353"/>
      <c r="K27" s="352"/>
      <c r="L27" s="352"/>
      <c r="M27" s="352"/>
      <c r="N27" s="354"/>
      <c r="O27" s="37"/>
      <c r="AI27" s="39"/>
    </row>
    <row r="28" spans="1:14" ht="15.75" thickBot="1">
      <c r="A28" s="495"/>
      <c r="B28" s="495"/>
      <c r="C28" s="496" t="s">
        <v>435</v>
      </c>
      <c r="D28" s="496" t="s">
        <v>436</v>
      </c>
      <c r="E28" s="496" t="s">
        <v>448</v>
      </c>
      <c r="F28" s="496"/>
      <c r="G28" s="496"/>
      <c r="H28" s="496"/>
      <c r="I28" s="496"/>
      <c r="J28" s="496"/>
      <c r="K28" s="496"/>
      <c r="L28" s="496"/>
      <c r="M28" s="496"/>
      <c r="N28" s="497"/>
    </row>
    <row r="29" spans="1:19" ht="15.75" thickBot="1">
      <c r="A29" s="3"/>
      <c r="B29" s="746" t="s">
        <v>67</v>
      </c>
      <c r="C29" s="747"/>
      <c r="D29" s="747"/>
      <c r="E29" s="747"/>
      <c r="F29" s="747"/>
      <c r="G29" s="747"/>
      <c r="H29" s="747"/>
      <c r="I29" s="747"/>
      <c r="J29" s="747"/>
      <c r="K29" s="747"/>
      <c r="L29" s="747"/>
      <c r="M29" s="747"/>
      <c r="N29" s="748"/>
      <c r="P29" s="525"/>
      <c r="Q29" s="525"/>
      <c r="R29" s="175">
        <f>+C33</f>
        <v>6327435.526216391</v>
      </c>
      <c r="S29" s="525"/>
    </row>
    <row r="30" spans="1:19" ht="15">
      <c r="A30" s="3"/>
      <c r="B30" s="84" t="s">
        <v>274</v>
      </c>
      <c r="C30" s="356" t="s">
        <v>113</v>
      </c>
      <c r="D30" s="356" t="s">
        <v>114</v>
      </c>
      <c r="E30" s="356" t="s">
        <v>115</v>
      </c>
      <c r="F30" s="356" t="s">
        <v>116</v>
      </c>
      <c r="G30" s="356" t="s">
        <v>127</v>
      </c>
      <c r="H30" s="356" t="s">
        <v>128</v>
      </c>
      <c r="I30" s="356" t="s">
        <v>129</v>
      </c>
      <c r="J30" s="356" t="s">
        <v>130</v>
      </c>
      <c r="K30" s="356" t="s">
        <v>131</v>
      </c>
      <c r="L30" s="356" t="s">
        <v>132</v>
      </c>
      <c r="M30" s="356" t="s">
        <v>133</v>
      </c>
      <c r="N30" s="357" t="s">
        <v>293</v>
      </c>
      <c r="O30" s="252" t="s">
        <v>9</v>
      </c>
      <c r="P30" s="525"/>
      <c r="Q30" s="525"/>
      <c r="R30" s="175">
        <f>+D33</f>
        <v>6327435.526216391</v>
      </c>
      <c r="S30" s="525"/>
    </row>
    <row r="31" spans="1:19" ht="18" customHeight="1">
      <c r="A31" s="3"/>
      <c r="B31" s="207" t="str">
        <f>CONCATENATE("Budget (in ",'Data Entry'!$D$26,")")</f>
        <v>Budget (in $)</v>
      </c>
      <c r="C31" s="328">
        <v>6327435.526216391</v>
      </c>
      <c r="D31" s="330"/>
      <c r="E31" s="358"/>
      <c r="F31" s="330"/>
      <c r="G31" s="330"/>
      <c r="H31" s="330"/>
      <c r="I31" s="330"/>
      <c r="J31" s="359"/>
      <c r="K31" s="359"/>
      <c r="L31" s="359"/>
      <c r="M31" s="359"/>
      <c r="N31" s="359"/>
      <c r="O31" s="658">
        <f>+SUM(C35:N35)</f>
        <v>1.239432048135744</v>
      </c>
      <c r="P31" s="525"/>
      <c r="Q31" s="525"/>
      <c r="R31" s="175">
        <f>+E33</f>
        <v>6327435.526216391</v>
      </c>
      <c r="S31" s="525"/>
    </row>
    <row r="32" spans="1:19" ht="15">
      <c r="A32" s="3"/>
      <c r="B32" s="84" t="str">
        <f>CONCATENATE("Disbursements by GF (in ",$D$26,")")</f>
        <v>Disbursements by GF (in $)</v>
      </c>
      <c r="C32" s="358">
        <v>7842426.373705249</v>
      </c>
      <c r="D32" s="358"/>
      <c r="E32" s="358"/>
      <c r="F32" s="358"/>
      <c r="G32" s="360"/>
      <c r="H32" s="360"/>
      <c r="I32" s="358"/>
      <c r="J32" s="359"/>
      <c r="K32" s="359"/>
      <c r="L32" s="359"/>
      <c r="M32" s="359"/>
      <c r="N32" s="359"/>
      <c r="O32" s="659"/>
      <c r="P32" s="525"/>
      <c r="Q32" s="525"/>
      <c r="R32" s="175">
        <f>+F33</f>
        <v>6327435.526216391</v>
      </c>
      <c r="S32" s="525"/>
    </row>
    <row r="33" spans="1:19" ht="15">
      <c r="A33" s="3"/>
      <c r="B33" s="85" t="s">
        <v>376</v>
      </c>
      <c r="C33" s="329">
        <f>C31</f>
        <v>6327435.526216391</v>
      </c>
      <c r="D33" s="329">
        <f>C33+D31</f>
        <v>6327435.526216391</v>
      </c>
      <c r="E33" s="329">
        <f aca="true" t="shared" si="0" ref="E33:N33">D33+E31</f>
        <v>6327435.526216391</v>
      </c>
      <c r="F33" s="329">
        <f t="shared" si="0"/>
        <v>6327435.526216391</v>
      </c>
      <c r="G33" s="329">
        <f t="shared" si="0"/>
        <v>6327435.526216391</v>
      </c>
      <c r="H33" s="329">
        <f t="shared" si="0"/>
        <v>6327435.526216391</v>
      </c>
      <c r="I33" s="329">
        <f t="shared" si="0"/>
        <v>6327435.526216391</v>
      </c>
      <c r="J33" s="329">
        <f t="shared" si="0"/>
        <v>6327435.526216391</v>
      </c>
      <c r="K33" s="329">
        <f t="shared" si="0"/>
        <v>6327435.526216391</v>
      </c>
      <c r="L33" s="329">
        <f t="shared" si="0"/>
        <v>6327435.526216391</v>
      </c>
      <c r="M33" s="329">
        <f t="shared" si="0"/>
        <v>6327435.526216391</v>
      </c>
      <c r="N33" s="329">
        <f t="shared" si="0"/>
        <v>6327435.526216391</v>
      </c>
      <c r="O33" s="659"/>
      <c r="P33" s="526"/>
      <c r="Q33" s="525"/>
      <c r="R33" s="175">
        <f>+G33</f>
        <v>6327435.526216391</v>
      </c>
      <c r="S33" s="525"/>
    </row>
    <row r="34" spans="1:19" ht="15.75" thickBot="1">
      <c r="A34" s="3"/>
      <c r="B34" s="86" t="s">
        <v>377</v>
      </c>
      <c r="C34" s="361">
        <f>C32</f>
        <v>7842426.373705249</v>
      </c>
      <c r="D34" s="361">
        <f>C34+D32</f>
        <v>7842426.373705249</v>
      </c>
      <c r="E34" s="361">
        <f aca="true" t="shared" si="1" ref="E34:N34">D34+E32</f>
        <v>7842426.373705249</v>
      </c>
      <c r="F34" s="361">
        <f t="shared" si="1"/>
        <v>7842426.373705249</v>
      </c>
      <c r="G34" s="361">
        <f t="shared" si="1"/>
        <v>7842426.373705249</v>
      </c>
      <c r="H34" s="361">
        <f t="shared" si="1"/>
        <v>7842426.373705249</v>
      </c>
      <c r="I34" s="361">
        <f t="shared" si="1"/>
        <v>7842426.373705249</v>
      </c>
      <c r="J34" s="361">
        <f t="shared" si="1"/>
        <v>7842426.373705249</v>
      </c>
      <c r="K34" s="361">
        <f t="shared" si="1"/>
        <v>7842426.373705249</v>
      </c>
      <c r="L34" s="361">
        <f t="shared" si="1"/>
        <v>7842426.373705249</v>
      </c>
      <c r="M34" s="361">
        <f t="shared" si="1"/>
        <v>7842426.373705249</v>
      </c>
      <c r="N34" s="361">
        <f t="shared" si="1"/>
        <v>7842426.373705249</v>
      </c>
      <c r="O34" s="660"/>
      <c r="P34" s="526"/>
      <c r="Q34" s="525"/>
      <c r="R34" s="175">
        <f>+H33</f>
        <v>6327435.526216391</v>
      </c>
      <c r="S34" s="525"/>
    </row>
    <row r="35" spans="1:19" ht="15">
      <c r="A35" s="3"/>
      <c r="B35" s="3"/>
      <c r="C35" s="362">
        <f>+IF(AND(C30=$C$16,C33&lt;&gt;0),C34/C33,0)</f>
        <v>1.239432048135744</v>
      </c>
      <c r="D35" s="362">
        <f aca="true" t="shared" si="2" ref="D35:N35">+IF(AND(D30=$C$16,D33&lt;&gt;0),D34/D33,0)</f>
        <v>0</v>
      </c>
      <c r="E35" s="362">
        <f t="shared" si="2"/>
        <v>0</v>
      </c>
      <c r="F35" s="362">
        <f t="shared" si="2"/>
        <v>0</v>
      </c>
      <c r="G35" s="362">
        <f t="shared" si="2"/>
        <v>0</v>
      </c>
      <c r="H35" s="362">
        <f t="shared" si="2"/>
        <v>0</v>
      </c>
      <c r="I35" s="362">
        <f t="shared" si="2"/>
        <v>0</v>
      </c>
      <c r="J35" s="362">
        <f t="shared" si="2"/>
        <v>0</v>
      </c>
      <c r="K35" s="362">
        <f t="shared" si="2"/>
        <v>0</v>
      </c>
      <c r="L35" s="362">
        <f t="shared" si="2"/>
        <v>0</v>
      </c>
      <c r="M35" s="362">
        <f t="shared" si="2"/>
        <v>0</v>
      </c>
      <c r="N35" s="362">
        <f t="shared" si="2"/>
        <v>0</v>
      </c>
      <c r="O35" s="211"/>
      <c r="P35" s="176"/>
      <c r="Q35" s="176"/>
      <c r="R35" s="175">
        <f>+I33</f>
        <v>6327435.526216391</v>
      </c>
      <c r="S35" s="525"/>
    </row>
    <row r="36" spans="1:35" ht="18.75">
      <c r="A36" s="3"/>
      <c r="B36" s="83" t="s">
        <v>370</v>
      </c>
      <c r="C36" s="331"/>
      <c r="D36" s="331"/>
      <c r="E36" s="331"/>
      <c r="F36" s="331"/>
      <c r="G36" s="331"/>
      <c r="H36" s="331"/>
      <c r="I36" s="331"/>
      <c r="J36" s="331"/>
      <c r="K36" s="331"/>
      <c r="L36" s="331"/>
      <c r="M36" s="331"/>
      <c r="N36" s="363"/>
      <c r="O36" s="38"/>
      <c r="AI36" s="20"/>
    </row>
    <row r="37" spans="1:15" ht="15.75" thickBot="1">
      <c r="A37" s="3"/>
      <c r="B37" s="3"/>
      <c r="C37" s="331"/>
      <c r="D37" s="331"/>
      <c r="E37" s="331"/>
      <c r="F37" s="331"/>
      <c r="G37" s="331"/>
      <c r="H37" s="331"/>
      <c r="I37" s="331"/>
      <c r="J37" s="331"/>
      <c r="K37" s="331"/>
      <c r="L37" s="331"/>
      <c r="M37" s="331"/>
      <c r="N37" s="364"/>
      <c r="O37" s="36"/>
    </row>
    <row r="38" spans="1:32" ht="30" customHeight="1">
      <c r="A38" s="3"/>
      <c r="B38" s="260" t="s">
        <v>390</v>
      </c>
      <c r="C38" s="365" t="str">
        <f>CONCATENATE("Cumulative Budget (in ",'Data Entry'!$D$26,")")</f>
        <v>Cumulative Budget (in $)</v>
      </c>
      <c r="D38" s="366" t="str">
        <f>CONCATENATE("Cumulative Expenditures (in ",'Data Entry'!$D$26,")")</f>
        <v>Cumulative Expenditures (in $)</v>
      </c>
      <c r="E38" s="556" t="s">
        <v>465</v>
      </c>
      <c r="F38" s="558" t="s">
        <v>466</v>
      </c>
      <c r="G38" s="331"/>
      <c r="H38" s="331"/>
      <c r="I38" s="331"/>
      <c r="J38" s="368"/>
      <c r="K38" s="369"/>
      <c r="N38" s="370"/>
      <c r="O38"/>
      <c r="AE38" s="20"/>
      <c r="AF38" s="35"/>
    </row>
    <row r="39" spans="1:32" ht="14.25" customHeight="1">
      <c r="A39" s="3"/>
      <c r="B39" s="261" t="s">
        <v>437</v>
      </c>
      <c r="C39" s="371">
        <v>78544.32152323308</v>
      </c>
      <c r="D39" s="372">
        <v>76363.03499999997</v>
      </c>
      <c r="E39" s="557">
        <f>D39/C39</f>
        <v>0.972228590419641</v>
      </c>
      <c r="F39" s="559">
        <f>C39/C$51</f>
        <v>0.01241329464327235</v>
      </c>
      <c r="G39" s="508"/>
      <c r="H39" s="331"/>
      <c r="I39" s="331"/>
      <c r="J39" s="374"/>
      <c r="K39" s="375"/>
      <c r="N39" s="370"/>
      <c r="O39"/>
      <c r="AE39" s="20"/>
      <c r="AF39" s="35"/>
    </row>
    <row r="40" spans="1:32" ht="14.25" customHeight="1">
      <c r="A40" s="3"/>
      <c r="B40" s="261" t="s">
        <v>438</v>
      </c>
      <c r="C40" s="371">
        <v>0</v>
      </c>
      <c r="D40" s="372"/>
      <c r="E40" s="557"/>
      <c r="F40" s="559"/>
      <c r="G40" s="508"/>
      <c r="H40" s="331"/>
      <c r="I40" s="331"/>
      <c r="J40" s="331"/>
      <c r="K40" s="375"/>
      <c r="N40" s="370"/>
      <c r="O40"/>
      <c r="AE40" s="20"/>
      <c r="AF40" s="35"/>
    </row>
    <row r="41" spans="1:32" ht="14.25" customHeight="1">
      <c r="A41" s="3"/>
      <c r="B41" s="261" t="s">
        <v>419</v>
      </c>
      <c r="C41" s="371">
        <v>269955.560107568</v>
      </c>
      <c r="D41" s="372">
        <f>502359.445+224430.72</f>
        <v>726790.165</v>
      </c>
      <c r="E41" s="557">
        <f aca="true" t="shared" si="3" ref="E41:E51">D41/C41</f>
        <v>2.6922585506681145</v>
      </c>
      <c r="F41" s="559">
        <f aca="true" t="shared" si="4" ref="F41:F50">C41/C$51</f>
        <v>0.042664292506666285</v>
      </c>
      <c r="G41" s="508"/>
      <c r="H41" s="331"/>
      <c r="I41" s="331"/>
      <c r="J41" s="331"/>
      <c r="K41" s="375"/>
      <c r="N41" s="370"/>
      <c r="O41"/>
      <c r="AE41" s="20"/>
      <c r="AF41" s="35"/>
    </row>
    <row r="42" spans="1:32" ht="14.25" customHeight="1">
      <c r="A42" s="3"/>
      <c r="B42" s="261" t="s">
        <v>439</v>
      </c>
      <c r="C42" s="371">
        <v>1891014.3258714115</v>
      </c>
      <c r="D42" s="372">
        <v>2930655.47</v>
      </c>
      <c r="E42" s="557">
        <f t="shared" si="3"/>
        <v>1.5497796235094647</v>
      </c>
      <c r="F42" s="559">
        <f t="shared" si="4"/>
        <v>0.29885951710395053</v>
      </c>
      <c r="G42" s="331"/>
      <c r="H42" s="331"/>
      <c r="I42" s="331"/>
      <c r="J42" s="331"/>
      <c r="K42" s="375"/>
      <c r="N42" s="370"/>
      <c r="O42"/>
      <c r="AE42" s="20"/>
      <c r="AF42" s="35"/>
    </row>
    <row r="43" spans="1:32" ht="14.25" customHeight="1">
      <c r="A43" s="3"/>
      <c r="B43" s="261" t="s">
        <v>440</v>
      </c>
      <c r="C43" s="371">
        <v>114730.9544284643</v>
      </c>
      <c r="D43" s="372"/>
      <c r="E43" s="557"/>
      <c r="F43" s="559">
        <f t="shared" si="4"/>
        <v>0.01813229924715959</v>
      </c>
      <c r="G43" s="508"/>
      <c r="H43" s="508"/>
      <c r="I43" s="508"/>
      <c r="J43" s="508"/>
      <c r="K43" s="375"/>
      <c r="N43" s="370"/>
      <c r="O43"/>
      <c r="AE43" s="20"/>
      <c r="AF43" s="35"/>
    </row>
    <row r="44" spans="1:32" ht="30">
      <c r="A44" s="3"/>
      <c r="B44" s="261" t="s">
        <v>441</v>
      </c>
      <c r="C44" s="377">
        <v>3991.4285714285716</v>
      </c>
      <c r="D44" s="372"/>
      <c r="E44" s="557">
        <f t="shared" si="3"/>
        <v>0</v>
      </c>
      <c r="F44" s="559">
        <f t="shared" si="4"/>
        <v>0.0006308129976024144</v>
      </c>
      <c r="G44" s="378" t="s">
        <v>420</v>
      </c>
      <c r="H44" s="331"/>
      <c r="I44" s="331"/>
      <c r="J44" s="331"/>
      <c r="K44" s="375"/>
      <c r="N44" s="370"/>
      <c r="O44"/>
      <c r="AE44" s="20"/>
      <c r="AF44" s="35"/>
    </row>
    <row r="45" spans="1:32" ht="30">
      <c r="A45" s="3"/>
      <c r="B45" s="261" t="s">
        <v>442</v>
      </c>
      <c r="C45" s="371">
        <v>2069844.75</v>
      </c>
      <c r="D45" s="372">
        <v>398785.21</v>
      </c>
      <c r="E45" s="557">
        <f t="shared" si="3"/>
        <v>0.19266430972661114</v>
      </c>
      <c r="F45" s="559">
        <f t="shared" si="4"/>
        <v>0.32712221901338007</v>
      </c>
      <c r="G45" s="331"/>
      <c r="H45" s="331"/>
      <c r="I45" s="331"/>
      <c r="J45" s="331"/>
      <c r="K45" s="346"/>
      <c r="N45" s="370"/>
      <c r="O45"/>
      <c r="AE45" s="20"/>
      <c r="AF45" s="35"/>
    </row>
    <row r="46" spans="1:32" ht="30">
      <c r="A46" s="3"/>
      <c r="B46" s="552" t="s">
        <v>443</v>
      </c>
      <c r="C46" s="371">
        <v>538965.9285714285</v>
      </c>
      <c r="D46" s="372"/>
      <c r="E46" s="557">
        <f t="shared" si="3"/>
        <v>0</v>
      </c>
      <c r="F46" s="559">
        <f t="shared" si="4"/>
        <v>0.08517920512004228</v>
      </c>
      <c r="G46" s="508"/>
      <c r="H46" s="508"/>
      <c r="I46" s="508"/>
      <c r="J46" s="508"/>
      <c r="K46" s="346"/>
      <c r="N46" s="370"/>
      <c r="O46"/>
      <c r="AE46" s="20"/>
      <c r="AF46" s="35"/>
    </row>
    <row r="47" spans="1:32" ht="15">
      <c r="A47" s="3"/>
      <c r="B47" s="552" t="s">
        <v>444</v>
      </c>
      <c r="C47" s="371">
        <v>1004923.9714285714</v>
      </c>
      <c r="D47" s="372"/>
      <c r="E47" s="557">
        <f t="shared" si="3"/>
        <v>0</v>
      </c>
      <c r="F47" s="559">
        <f t="shared" si="4"/>
        <v>0.15882010449018114</v>
      </c>
      <c r="G47" s="508"/>
      <c r="H47" s="508"/>
      <c r="I47" s="508"/>
      <c r="J47" s="508"/>
      <c r="K47" s="346"/>
      <c r="N47" s="370"/>
      <c r="O47"/>
      <c r="AE47" s="20"/>
      <c r="AF47" s="35"/>
    </row>
    <row r="48" spans="1:32" ht="15">
      <c r="A48" s="3"/>
      <c r="B48" s="552" t="s">
        <v>445</v>
      </c>
      <c r="C48" s="371">
        <v>127370</v>
      </c>
      <c r="D48" s="372">
        <v>4466.82</v>
      </c>
      <c r="E48" s="557">
        <f t="shared" si="3"/>
        <v>0.035069639632566534</v>
      </c>
      <c r="F48" s="559">
        <f t="shared" si="4"/>
        <v>0.020129798157921854</v>
      </c>
      <c r="G48" s="508"/>
      <c r="H48" s="508"/>
      <c r="I48" s="508"/>
      <c r="J48" s="508"/>
      <c r="K48" s="346"/>
      <c r="N48" s="370"/>
      <c r="O48"/>
      <c r="AE48" s="20"/>
      <c r="AF48" s="35"/>
    </row>
    <row r="49" spans="1:32" ht="15">
      <c r="A49" s="3"/>
      <c r="B49" s="552" t="s">
        <v>446</v>
      </c>
      <c r="C49" s="371">
        <v>17626.000000000004</v>
      </c>
      <c r="D49" s="372"/>
      <c r="E49" s="557">
        <f t="shared" si="3"/>
        <v>0</v>
      </c>
      <c r="F49" s="559">
        <f>C49/C$51</f>
        <v>0.002785646716899825</v>
      </c>
      <c r="G49" s="508"/>
      <c r="H49" s="508"/>
      <c r="I49" s="508"/>
      <c r="J49" s="508"/>
      <c r="K49" s="346"/>
      <c r="N49" s="370"/>
      <c r="O49"/>
      <c r="AE49" s="20"/>
      <c r="AF49" s="35"/>
    </row>
    <row r="50" spans="1:32" ht="15.75" thickBot="1">
      <c r="A50" s="3"/>
      <c r="B50" s="552" t="s">
        <v>447</v>
      </c>
      <c r="C50" s="371">
        <v>210468.28571428568</v>
      </c>
      <c r="D50" s="372">
        <f>148224.39+56.84</f>
        <v>148281.23</v>
      </c>
      <c r="E50" s="557">
        <f t="shared" si="3"/>
        <v>0.7045300411734922</v>
      </c>
      <c r="F50" s="559">
        <f t="shared" si="4"/>
        <v>0.033262810002923755</v>
      </c>
      <c r="G50" s="508"/>
      <c r="H50" s="508"/>
      <c r="I50" s="508"/>
      <c r="J50" s="508"/>
      <c r="K50" s="346"/>
      <c r="N50" s="370"/>
      <c r="O50"/>
      <c r="AE50" s="20"/>
      <c r="AF50" s="35"/>
    </row>
    <row r="51" spans="1:32" ht="15.75" thickBot="1">
      <c r="A51" s="3"/>
      <c r="B51" s="262" t="s">
        <v>66</v>
      </c>
      <c r="C51" s="379">
        <f>SUM(C39:C50)</f>
        <v>6327435.526216391</v>
      </c>
      <c r="D51" s="379">
        <f>SUM(D39:D50)</f>
        <v>4285341.93</v>
      </c>
      <c r="E51" s="557">
        <f t="shared" si="3"/>
        <v>0.6772636263529817</v>
      </c>
      <c r="F51" s="664" t="str">
        <f ca="1">+IF((ROUND(C51,0)=ROUND(OFFSET(B33,0,RIGHT('Data Entry'!$C$16,LEN('Data Entry'!$C$16)-1),1,1),0)),"OK: Data match","Warning:  Cumulative Budget data do not match")</f>
        <v>OK: Data match</v>
      </c>
      <c r="G51" s="665"/>
      <c r="H51" s="665"/>
      <c r="I51" s="666"/>
      <c r="J51" s="331"/>
      <c r="K51" s="331"/>
      <c r="L51" s="331"/>
      <c r="M51" s="380"/>
      <c r="N51" s="380"/>
      <c r="O51" s="175"/>
      <c r="P51" s="525"/>
      <c r="AE51" s="35"/>
      <c r="AF51" s="35"/>
    </row>
    <row r="52" spans="1:19" ht="15">
      <c r="A52" s="3"/>
      <c r="B52" s="3"/>
      <c r="C52" s="331"/>
      <c r="D52" s="331"/>
      <c r="E52" s="381"/>
      <c r="F52" s="331"/>
      <c r="G52" s="331"/>
      <c r="H52" s="331"/>
      <c r="I52" s="331"/>
      <c r="J52" s="331"/>
      <c r="K52" s="331"/>
      <c r="L52" s="331"/>
      <c r="M52" s="331"/>
      <c r="N52" s="331"/>
      <c r="O52" s="170"/>
      <c r="P52" s="176"/>
      <c r="Q52" s="176"/>
      <c r="R52" s="175"/>
      <c r="S52" s="525"/>
    </row>
    <row r="53" spans="1:19" ht="18.75">
      <c r="A53" s="3"/>
      <c r="B53" s="83" t="s">
        <v>369</v>
      </c>
      <c r="C53" s="331"/>
      <c r="D53" s="331"/>
      <c r="E53" s="331"/>
      <c r="F53" s="331"/>
      <c r="G53" s="331"/>
      <c r="H53" s="331"/>
      <c r="I53" s="331"/>
      <c r="J53" s="331"/>
      <c r="K53" s="331"/>
      <c r="L53" s="331"/>
      <c r="M53" s="331"/>
      <c r="P53" s="525"/>
      <c r="Q53" s="525"/>
      <c r="R53" s="175">
        <f>+J33</f>
        <v>6327435.526216391</v>
      </c>
      <c r="S53" s="525"/>
    </row>
    <row r="54" spans="1:19" ht="15.75" thickBot="1">
      <c r="A54" s="3"/>
      <c r="B54" s="3"/>
      <c r="C54" s="331"/>
      <c r="D54" s="331"/>
      <c r="E54" s="331"/>
      <c r="F54" s="331"/>
      <c r="G54" s="331"/>
      <c r="H54" s="331"/>
      <c r="I54" s="331"/>
      <c r="J54" s="331"/>
      <c r="K54" s="331"/>
      <c r="L54" s="331"/>
      <c r="M54" s="331"/>
      <c r="P54" s="525"/>
      <c r="Q54" s="525"/>
      <c r="R54" s="175">
        <f>+K33</f>
        <v>6327435.526216391</v>
      </c>
      <c r="S54" s="525"/>
    </row>
    <row r="55" spans="1:34" ht="35.25" customHeight="1">
      <c r="A55" s="3"/>
      <c r="B55" s="214"/>
      <c r="C55" s="382" t="s">
        <v>367</v>
      </c>
      <c r="D55" s="382" t="s">
        <v>368</v>
      </c>
      <c r="E55" s="383" t="str">
        <f>CONCATENATE("Total Spent and Disbursement (in ",D26,")")</f>
        <v>Total Spent and Disbursement (in $)</v>
      </c>
      <c r="F55" s="331"/>
      <c r="G55" s="384"/>
      <c r="H55" s="367"/>
      <c r="I55" s="385"/>
      <c r="J55" s="385"/>
      <c r="K55" s="385"/>
      <c r="L55" s="385"/>
      <c r="M55" s="386"/>
      <c r="N55" s="386"/>
      <c r="O55" s="174"/>
      <c r="P55" s="525"/>
      <c r="Q55" s="525">
        <f>+M33</f>
        <v>6327435.526216391</v>
      </c>
      <c r="R55" s="174"/>
      <c r="AH55" s="20"/>
    </row>
    <row r="56" spans="1:34" ht="15">
      <c r="A56" s="3"/>
      <c r="B56" s="212" t="s">
        <v>317</v>
      </c>
      <c r="C56" s="387">
        <v>0</v>
      </c>
      <c r="D56" s="387">
        <f>C34</f>
        <v>7842426.373705249</v>
      </c>
      <c r="E56" s="388">
        <f>SUM(C56:D56)</f>
        <v>7842426.373705249</v>
      </c>
      <c r="F56" s="331"/>
      <c r="G56" s="389"/>
      <c r="H56" s="390"/>
      <c r="I56" s="391"/>
      <c r="J56" s="390"/>
      <c r="K56" s="392"/>
      <c r="L56" s="393"/>
      <c r="M56" s="394"/>
      <c r="N56" s="394"/>
      <c r="O56" s="174"/>
      <c r="P56" s="525"/>
      <c r="Q56" s="525"/>
      <c r="R56" s="174"/>
      <c r="AH56" s="20"/>
    </row>
    <row r="57" spans="1:34" ht="15">
      <c r="A57" s="3"/>
      <c r="B57" s="212" t="s">
        <v>296</v>
      </c>
      <c r="C57" s="387">
        <v>0</v>
      </c>
      <c r="D57" s="387">
        <f>D51</f>
        <v>4285341.93</v>
      </c>
      <c r="E57" s="388">
        <f>SUM(C57:D57)</f>
        <v>4285341.93</v>
      </c>
      <c r="F57" s="395"/>
      <c r="G57" s="396"/>
      <c r="H57" s="390"/>
      <c r="I57" s="391"/>
      <c r="J57" s="390"/>
      <c r="K57" s="390"/>
      <c r="L57" s="393"/>
      <c r="M57" s="397"/>
      <c r="N57" s="397"/>
      <c r="O57" s="174"/>
      <c r="P57" s="525"/>
      <c r="Q57" s="525"/>
      <c r="R57" s="174"/>
      <c r="AH57" s="20"/>
    </row>
    <row r="58" spans="1:34" ht="15">
      <c r="A58" s="3"/>
      <c r="B58" s="212" t="s">
        <v>276</v>
      </c>
      <c r="C58" s="387">
        <v>0</v>
      </c>
      <c r="D58" s="387"/>
      <c r="E58" s="388"/>
      <c r="F58" s="331"/>
      <c r="G58" s="389"/>
      <c r="H58" s="390"/>
      <c r="I58" s="391"/>
      <c r="J58" s="390"/>
      <c r="K58" s="392"/>
      <c r="L58" s="393"/>
      <c r="M58" s="394"/>
      <c r="N58" s="394"/>
      <c r="O58"/>
      <c r="AH58" s="20"/>
    </row>
    <row r="59" spans="1:34" ht="15.75" thickBot="1">
      <c r="A59" s="3"/>
      <c r="B59" s="213" t="s">
        <v>277</v>
      </c>
      <c r="C59" s="398">
        <v>0</v>
      </c>
      <c r="D59" s="399">
        <v>0</v>
      </c>
      <c r="E59" s="400">
        <f>+D59+C59</f>
        <v>0</v>
      </c>
      <c r="F59" s="331"/>
      <c r="G59" s="393"/>
      <c r="H59" s="401"/>
      <c r="I59" s="402"/>
      <c r="J59" s="402"/>
      <c r="K59" s="402"/>
      <c r="L59" s="393"/>
      <c r="M59" s="397"/>
      <c r="N59" s="397"/>
      <c r="O59"/>
      <c r="AH59" s="20"/>
    </row>
    <row r="60" spans="1:35" ht="15.75" customHeight="1">
      <c r="A60" s="3"/>
      <c r="B60" s="3"/>
      <c r="C60" s="331"/>
      <c r="D60" s="331"/>
      <c r="E60" s="331"/>
      <c r="F60" s="331"/>
      <c r="G60" s="331"/>
      <c r="H60" s="331"/>
      <c r="I60" s="331"/>
      <c r="J60" s="331"/>
      <c r="K60" s="331"/>
      <c r="L60" s="331"/>
      <c r="M60" s="331"/>
      <c r="AI60" s="20"/>
    </row>
    <row r="61" spans="1:13" ht="15">
      <c r="A61" s="3"/>
      <c r="B61" s="3"/>
      <c r="C61" s="331"/>
      <c r="D61" s="403"/>
      <c r="E61" s="331"/>
      <c r="F61" s="331"/>
      <c r="G61" s="331"/>
      <c r="H61" s="331"/>
      <c r="I61" s="331"/>
      <c r="J61" s="331"/>
      <c r="K61" s="331"/>
      <c r="L61" s="331"/>
      <c r="M61" s="331"/>
    </row>
    <row r="62" spans="1:13" ht="18.75">
      <c r="A62" s="3"/>
      <c r="B62" s="83" t="s">
        <v>372</v>
      </c>
      <c r="C62" s="331"/>
      <c r="D62" s="331"/>
      <c r="E62" s="331"/>
      <c r="F62" s="331"/>
      <c r="G62" s="331"/>
      <c r="H62" s="331"/>
      <c r="I62" s="331"/>
      <c r="J62" s="331"/>
      <c r="K62" s="331"/>
      <c r="L62" s="331"/>
      <c r="M62" s="331"/>
    </row>
    <row r="63" spans="1:13" ht="15.75" thickBot="1">
      <c r="A63" s="3"/>
      <c r="B63" s="3"/>
      <c r="C63" s="331"/>
      <c r="D63" s="331"/>
      <c r="E63" s="331"/>
      <c r="F63" s="331"/>
      <c r="G63" s="331"/>
      <c r="H63" s="331"/>
      <c r="I63" s="331"/>
      <c r="J63" s="331"/>
      <c r="K63" s="331"/>
      <c r="L63" s="331"/>
      <c r="M63" s="331"/>
    </row>
    <row r="64" spans="1:15" ht="15">
      <c r="A64" s="3"/>
      <c r="B64" s="749" t="s">
        <v>343</v>
      </c>
      <c r="C64" s="750"/>
      <c r="D64" s="751"/>
      <c r="E64" s="331"/>
      <c r="F64" s="331"/>
      <c r="G64" s="331"/>
      <c r="H64" s="331"/>
      <c r="I64" s="331"/>
      <c r="J64" s="331"/>
      <c r="K64" s="331"/>
      <c r="L64" s="331"/>
      <c r="M64" s="333"/>
      <c r="O64"/>
    </row>
    <row r="65" spans="1:15" ht="15">
      <c r="A65" s="3"/>
      <c r="B65" s="89"/>
      <c r="C65" s="404" t="s">
        <v>68</v>
      </c>
      <c r="D65" s="405" t="s">
        <v>69</v>
      </c>
      <c r="E65" s="331"/>
      <c r="F65" s="331"/>
      <c r="G65" s="331"/>
      <c r="H65" s="331"/>
      <c r="I65" s="331"/>
      <c r="J65" s="331"/>
      <c r="K65" s="331"/>
      <c r="L65" s="331"/>
      <c r="M65" s="333"/>
      <c r="O65"/>
    </row>
    <row r="66" spans="1:15" ht="15">
      <c r="A66" s="3"/>
      <c r="B66" s="90" t="s">
        <v>6</v>
      </c>
      <c r="C66" s="406">
        <v>45</v>
      </c>
      <c r="D66" s="407">
        <v>45</v>
      </c>
      <c r="E66" s="331" t="s">
        <v>408</v>
      </c>
      <c r="F66" s="331"/>
      <c r="G66" s="331"/>
      <c r="H66" s="331"/>
      <c r="I66" s="331"/>
      <c r="J66" s="331"/>
      <c r="K66" s="331"/>
      <c r="L66" s="331"/>
      <c r="M66" s="333"/>
      <c r="O66"/>
    </row>
    <row r="67" spans="1:15" ht="15">
      <c r="A67" s="3"/>
      <c r="B67" s="215" t="s">
        <v>354</v>
      </c>
      <c r="C67" s="406">
        <v>45</v>
      </c>
      <c r="D67" s="407"/>
      <c r="E67" s="331" t="s">
        <v>409</v>
      </c>
      <c r="F67" s="331"/>
      <c r="G67" s="331"/>
      <c r="H67" s="390"/>
      <c r="I67" s="390"/>
      <c r="J67" s="331"/>
      <c r="K67" s="331"/>
      <c r="L67" s="331"/>
      <c r="M67" s="333"/>
      <c r="O67"/>
    </row>
    <row r="68" spans="1:15" ht="15.75" thickBot="1">
      <c r="A68" s="3"/>
      <c r="B68" s="91" t="s">
        <v>355</v>
      </c>
      <c r="C68" s="408"/>
      <c r="D68" s="409"/>
      <c r="E68" s="410" t="s">
        <v>410</v>
      </c>
      <c r="F68" s="331"/>
      <c r="G68" s="331"/>
      <c r="H68" s="390"/>
      <c r="I68" s="390"/>
      <c r="J68" s="331"/>
      <c r="K68" s="331"/>
      <c r="L68" s="331"/>
      <c r="M68" s="333"/>
      <c r="O68"/>
    </row>
    <row r="69" spans="1:13" ht="15">
      <c r="A69" s="3"/>
      <c r="B69" s="3"/>
      <c r="C69" s="331"/>
      <c r="D69" s="331"/>
      <c r="E69" s="331"/>
      <c r="F69" s="331"/>
      <c r="G69" s="331"/>
      <c r="H69" s="331"/>
      <c r="I69" s="331"/>
      <c r="J69" s="331"/>
      <c r="K69" s="331"/>
      <c r="L69" s="331"/>
      <c r="M69" s="331"/>
    </row>
    <row r="70" spans="1:30" ht="15.75" thickBot="1">
      <c r="A70" s="3"/>
      <c r="B70" s="3"/>
      <c r="C70" s="331"/>
      <c r="D70" s="331"/>
      <c r="E70" s="331"/>
      <c r="F70" s="331"/>
      <c r="G70" s="331"/>
      <c r="H70" s="331"/>
      <c r="I70" s="331"/>
      <c r="J70" s="331"/>
      <c r="K70" s="331"/>
      <c r="L70" s="411"/>
      <c r="M70" s="331"/>
      <c r="AC70" s="19"/>
      <c r="AD70" s="19"/>
    </row>
    <row r="71" spans="1:30" ht="19.5" thickBot="1">
      <c r="A71" s="3"/>
      <c r="B71" s="92" t="s">
        <v>270</v>
      </c>
      <c r="C71" s="412"/>
      <c r="D71" s="412"/>
      <c r="E71" s="412"/>
      <c r="F71" s="412"/>
      <c r="G71" s="412"/>
      <c r="H71" s="413" t="s">
        <v>310</v>
      </c>
      <c r="I71" s="412"/>
      <c r="J71" s="414"/>
      <c r="K71" s="414"/>
      <c r="L71" s="415"/>
      <c r="M71" s="416"/>
      <c r="N71" s="417"/>
      <c r="O71" s="79"/>
      <c r="P71" s="527"/>
      <c r="S71" s="538"/>
      <c r="AC71" s="19"/>
      <c r="AD71" s="19"/>
    </row>
    <row r="72" spans="1:30" ht="18.75">
      <c r="A72" s="3"/>
      <c r="B72" s="93"/>
      <c r="C72" s="418"/>
      <c r="D72" s="418"/>
      <c r="E72" s="418"/>
      <c r="F72" s="418"/>
      <c r="G72" s="418"/>
      <c r="H72" s="418"/>
      <c r="I72" s="418"/>
      <c r="J72" s="418"/>
      <c r="K72" s="419"/>
      <c r="L72" s="419"/>
      <c r="M72" s="418"/>
      <c r="N72" s="417"/>
      <c r="O72" s="79"/>
      <c r="P72" s="527"/>
      <c r="S72" s="538"/>
      <c r="AC72" s="19"/>
      <c r="AD72" s="19"/>
    </row>
    <row r="73" spans="1:30" ht="18.75">
      <c r="A73" s="3"/>
      <c r="B73" s="93" t="s">
        <v>373</v>
      </c>
      <c r="C73" s="418"/>
      <c r="D73" s="418"/>
      <c r="E73" s="418"/>
      <c r="F73" s="418"/>
      <c r="G73" s="418"/>
      <c r="H73" s="418"/>
      <c r="I73" s="418"/>
      <c r="J73" s="418"/>
      <c r="K73" s="419"/>
      <c r="L73" s="419"/>
      <c r="M73" s="418"/>
      <c r="N73" s="417"/>
      <c r="O73" s="79"/>
      <c r="P73" s="527"/>
      <c r="S73" s="538"/>
      <c r="AC73" s="19"/>
      <c r="AD73" s="19"/>
    </row>
    <row r="74" spans="1:30" ht="15.75" thickBot="1">
      <c r="A74" s="3"/>
      <c r="B74" s="2"/>
      <c r="C74" s="420"/>
      <c r="D74" s="420"/>
      <c r="E74" s="420"/>
      <c r="F74" s="420"/>
      <c r="G74" s="420"/>
      <c r="H74" s="421"/>
      <c r="I74" s="420"/>
      <c r="J74" s="421"/>
      <c r="K74" s="421"/>
      <c r="L74" s="421"/>
      <c r="M74" s="421"/>
      <c r="N74" s="346"/>
      <c r="O74" s="19"/>
      <c r="P74" s="528"/>
      <c r="Q74" s="528"/>
      <c r="R74" s="19"/>
      <c r="S74" s="528"/>
      <c r="AD74" s="19"/>
    </row>
    <row r="75" spans="1:19" ht="45">
      <c r="A75" s="3"/>
      <c r="B75" s="729"/>
      <c r="C75" s="730"/>
      <c r="D75" s="422" t="s">
        <v>124</v>
      </c>
      <c r="E75" s="423" t="s">
        <v>302</v>
      </c>
      <c r="F75" s="423" t="s">
        <v>125</v>
      </c>
      <c r="G75" s="424" t="s">
        <v>66</v>
      </c>
      <c r="H75" s="425"/>
      <c r="I75" s="426"/>
      <c r="J75" s="376"/>
      <c r="K75" s="421"/>
      <c r="L75" s="421"/>
      <c r="M75" s="421"/>
      <c r="N75" s="346"/>
      <c r="O75" s="19"/>
      <c r="P75" s="528"/>
      <c r="Q75" s="528"/>
      <c r="R75" s="19"/>
      <c r="S75" s="528"/>
    </row>
    <row r="76" spans="1:19" ht="15">
      <c r="A76" s="3"/>
      <c r="B76" s="752" t="s">
        <v>389</v>
      </c>
      <c r="C76" s="753"/>
      <c r="D76" s="500">
        <v>12</v>
      </c>
      <c r="E76" s="427">
        <v>0</v>
      </c>
      <c r="F76" s="427">
        <v>0</v>
      </c>
      <c r="G76" s="502">
        <f>SUM(D76:F76)</f>
        <v>12</v>
      </c>
      <c r="H76" s="373"/>
      <c r="I76" s="428"/>
      <c r="J76" s="428"/>
      <c r="K76" s="421"/>
      <c r="L76" s="421"/>
      <c r="M76" s="421"/>
      <c r="N76" s="346"/>
      <c r="O76" s="19"/>
      <c r="P76" s="528"/>
      <c r="Q76" s="528"/>
      <c r="R76" s="19"/>
      <c r="S76" s="528"/>
    </row>
    <row r="77" spans="1:19" ht="15.75" thickBot="1">
      <c r="A77" s="3"/>
      <c r="B77" s="754" t="s">
        <v>18</v>
      </c>
      <c r="C77" s="755"/>
      <c r="D77" s="501">
        <v>12</v>
      </c>
      <c r="E77" s="429">
        <v>0</v>
      </c>
      <c r="F77" s="429">
        <v>0</v>
      </c>
      <c r="G77" s="503">
        <f>SUM(D77:F77)</f>
        <v>12</v>
      </c>
      <c r="H77" s="373"/>
      <c r="I77" s="376"/>
      <c r="J77" s="376"/>
      <c r="K77" s="421"/>
      <c r="L77" s="421"/>
      <c r="M77" s="421"/>
      <c r="N77" s="430"/>
      <c r="O77" s="19"/>
      <c r="P77" s="528"/>
      <c r="Q77" s="528"/>
      <c r="R77" s="19"/>
      <c r="S77" s="528"/>
    </row>
    <row r="78" spans="1:19" ht="15">
      <c r="A78" s="3"/>
      <c r="B78" s="2"/>
      <c r="C78" s="421"/>
      <c r="D78" s="421"/>
      <c r="E78" s="421"/>
      <c r="F78" s="421"/>
      <c r="G78" s="421"/>
      <c r="H78" s="421"/>
      <c r="I78" s="421"/>
      <c r="J78" s="421"/>
      <c r="K78" s="421"/>
      <c r="L78" s="421"/>
      <c r="M78" s="421"/>
      <c r="N78" s="430"/>
      <c r="O78" s="19"/>
      <c r="P78" s="528"/>
      <c r="Q78" s="528"/>
      <c r="R78" s="19"/>
      <c r="S78" s="528"/>
    </row>
    <row r="79" spans="1:19" ht="15">
      <c r="A79" s="3"/>
      <c r="B79" s="2"/>
      <c r="C79" s="421"/>
      <c r="D79" s="421"/>
      <c r="E79" s="421"/>
      <c r="F79" s="421"/>
      <c r="G79" s="421"/>
      <c r="H79" s="421"/>
      <c r="I79" s="421"/>
      <c r="J79" s="421"/>
      <c r="K79" s="421"/>
      <c r="L79" s="421"/>
      <c r="M79" s="421"/>
      <c r="N79" s="430"/>
      <c r="O79" s="19"/>
      <c r="P79" s="528"/>
      <c r="S79" s="528"/>
    </row>
    <row r="80" spans="1:19" ht="18.75">
      <c r="A80" s="3"/>
      <c r="B80" s="93" t="s">
        <v>374</v>
      </c>
      <c r="C80" s="421"/>
      <c r="D80" s="421"/>
      <c r="E80" s="421"/>
      <c r="F80" s="421"/>
      <c r="G80" s="421"/>
      <c r="H80" s="421"/>
      <c r="I80" s="421"/>
      <c r="J80" s="421"/>
      <c r="K80" s="421"/>
      <c r="L80" s="421"/>
      <c r="M80" s="421"/>
      <c r="N80" s="430"/>
      <c r="O80" s="19"/>
      <c r="P80" s="528"/>
      <c r="S80" s="528"/>
    </row>
    <row r="81" spans="1:19" ht="15.75" thickBot="1">
      <c r="A81" s="3"/>
      <c r="B81" s="2"/>
      <c r="C81" s="421"/>
      <c r="D81" s="421"/>
      <c r="E81" s="421"/>
      <c r="F81" s="421"/>
      <c r="G81" s="421"/>
      <c r="H81" s="421"/>
      <c r="I81" s="421"/>
      <c r="J81" s="421"/>
      <c r="K81" s="421"/>
      <c r="L81" s="421"/>
      <c r="M81" s="421"/>
      <c r="N81" s="430"/>
      <c r="O81" s="19"/>
      <c r="P81" s="528"/>
      <c r="S81" s="528"/>
    </row>
    <row r="82" spans="1:19" ht="15">
      <c r="A82" s="3"/>
      <c r="B82" s="96"/>
      <c r="C82" s="431" t="s">
        <v>71</v>
      </c>
      <c r="D82" s="431" t="s">
        <v>89</v>
      </c>
      <c r="E82" s="432" t="s">
        <v>72</v>
      </c>
      <c r="F82" s="376"/>
      <c r="G82" s="376"/>
      <c r="H82" s="376"/>
      <c r="I82" s="426"/>
      <c r="J82" s="421"/>
      <c r="K82" s="421"/>
      <c r="L82" s="421"/>
      <c r="M82" s="421"/>
      <c r="N82" s="430"/>
      <c r="O82" s="19"/>
      <c r="P82" s="528"/>
      <c r="S82" s="528"/>
    </row>
    <row r="83" spans="1:19" ht="15.75" thickBot="1">
      <c r="A83" s="3"/>
      <c r="B83" s="97" t="s">
        <v>422</v>
      </c>
      <c r="C83" s="433"/>
      <c r="D83" s="433"/>
      <c r="E83" s="434">
        <f>+C83-D83</f>
        <v>0</v>
      </c>
      <c r="F83" s="435"/>
      <c r="G83" s="436"/>
      <c r="H83" s="376"/>
      <c r="I83" s="428"/>
      <c r="J83" s="421"/>
      <c r="K83" s="421"/>
      <c r="L83" s="421"/>
      <c r="M83" s="421"/>
      <c r="N83" s="430"/>
      <c r="O83" s="19"/>
      <c r="P83" s="528"/>
      <c r="S83" s="528"/>
    </row>
    <row r="84" spans="1:19" ht="15">
      <c r="A84" s="3"/>
      <c r="B84" s="2"/>
      <c r="C84" s="421"/>
      <c r="D84" s="421"/>
      <c r="E84" s="421"/>
      <c r="F84" s="421"/>
      <c r="G84" s="421"/>
      <c r="H84" s="421"/>
      <c r="I84" s="421"/>
      <c r="J84" s="421"/>
      <c r="K84" s="421"/>
      <c r="L84" s="421"/>
      <c r="M84" s="421"/>
      <c r="N84" s="430"/>
      <c r="O84" s="19"/>
      <c r="P84" s="528"/>
      <c r="S84" s="528"/>
    </row>
    <row r="85" spans="1:19" ht="18.75">
      <c r="A85" s="3"/>
      <c r="B85" s="93" t="s">
        <v>378</v>
      </c>
      <c r="C85" s="421"/>
      <c r="D85" s="421"/>
      <c r="E85" s="421"/>
      <c r="F85" s="421"/>
      <c r="G85" s="421"/>
      <c r="H85" s="421"/>
      <c r="I85" s="421"/>
      <c r="J85" s="421"/>
      <c r="K85" s="421"/>
      <c r="L85" s="421"/>
      <c r="M85" s="421"/>
      <c r="N85" s="430"/>
      <c r="O85" s="19"/>
      <c r="P85" s="528"/>
      <c r="S85" s="528"/>
    </row>
    <row r="86" spans="1:19" ht="15.75" thickBot="1">
      <c r="A86" s="3"/>
      <c r="B86" s="2"/>
      <c r="C86" s="421"/>
      <c r="D86" s="421"/>
      <c r="E86" s="421"/>
      <c r="F86" s="421"/>
      <c r="G86" s="421"/>
      <c r="H86" s="421"/>
      <c r="I86" s="421"/>
      <c r="J86" s="421"/>
      <c r="K86" s="421"/>
      <c r="L86" s="421"/>
      <c r="M86" s="421"/>
      <c r="N86" s="430"/>
      <c r="O86" s="19"/>
      <c r="P86" s="528"/>
      <c r="S86" s="528"/>
    </row>
    <row r="87" spans="1:19" ht="30">
      <c r="A87" s="3"/>
      <c r="B87" s="96"/>
      <c r="C87" s="431" t="s">
        <v>297</v>
      </c>
      <c r="D87" s="431" t="s">
        <v>75</v>
      </c>
      <c r="E87" s="431" t="s">
        <v>90</v>
      </c>
      <c r="F87" s="431" t="s">
        <v>76</v>
      </c>
      <c r="G87" s="437" t="s">
        <v>126</v>
      </c>
      <c r="H87" s="438"/>
      <c r="I87" s="426"/>
      <c r="J87" s="421"/>
      <c r="K87" s="421"/>
      <c r="L87" s="421"/>
      <c r="M87" s="421"/>
      <c r="N87" s="430"/>
      <c r="O87" s="19"/>
      <c r="P87" s="528"/>
      <c r="S87" s="528"/>
    </row>
    <row r="88" spans="1:19" ht="15.75" thickBot="1">
      <c r="A88" s="3"/>
      <c r="B88" s="97" t="s">
        <v>134</v>
      </c>
      <c r="C88" s="433"/>
      <c r="D88" s="433"/>
      <c r="E88" s="433"/>
      <c r="F88" s="433"/>
      <c r="G88" s="439"/>
      <c r="H88" s="440"/>
      <c r="I88" s="373"/>
      <c r="J88" s="421"/>
      <c r="K88" s="421"/>
      <c r="L88" s="421"/>
      <c r="M88" s="421"/>
      <c r="N88" s="430"/>
      <c r="O88" s="19"/>
      <c r="P88" s="528"/>
      <c r="S88" s="528"/>
    </row>
    <row r="89" spans="1:19" ht="15">
      <c r="A89" s="3"/>
      <c r="B89" s="2"/>
      <c r="C89" s="421"/>
      <c r="D89" s="421"/>
      <c r="E89" s="421"/>
      <c r="F89" s="421"/>
      <c r="G89" s="421"/>
      <c r="H89" s="421"/>
      <c r="J89" s="421"/>
      <c r="K89" s="421"/>
      <c r="L89" s="421"/>
      <c r="M89" s="421"/>
      <c r="N89" s="430"/>
      <c r="O89" s="19"/>
      <c r="P89" s="528"/>
      <c r="S89" s="528"/>
    </row>
    <row r="90" spans="1:19" ht="18.75">
      <c r="A90" s="3"/>
      <c r="B90" s="93" t="s">
        <v>417</v>
      </c>
      <c r="C90" s="421"/>
      <c r="D90" s="421"/>
      <c r="E90" s="421"/>
      <c r="F90" s="421"/>
      <c r="G90" s="421"/>
      <c r="H90" s="421"/>
      <c r="I90" s="421"/>
      <c r="J90" s="421"/>
      <c r="K90" s="421"/>
      <c r="L90" s="421"/>
      <c r="M90" s="421"/>
      <c r="N90" s="430"/>
      <c r="O90" s="19"/>
      <c r="P90" s="528"/>
      <c r="S90" s="528"/>
    </row>
    <row r="91" spans="1:19" ht="15.75" thickBot="1">
      <c r="A91" s="3"/>
      <c r="B91" s="2"/>
      <c r="C91" s="421"/>
      <c r="D91" s="421"/>
      <c r="E91" s="421"/>
      <c r="F91" s="421"/>
      <c r="G91" s="421"/>
      <c r="H91" s="421"/>
      <c r="I91" s="421"/>
      <c r="J91" s="421"/>
      <c r="K91" s="421"/>
      <c r="L91" s="421"/>
      <c r="M91" s="421"/>
      <c r="N91" s="430"/>
      <c r="O91" s="19"/>
      <c r="P91" s="528"/>
      <c r="S91" s="528"/>
    </row>
    <row r="92" spans="1:36" ht="15">
      <c r="A92" s="3"/>
      <c r="B92" s="96"/>
      <c r="C92" s="441" t="s">
        <v>73</v>
      </c>
      <c r="D92" s="441" t="s">
        <v>74</v>
      </c>
      <c r="E92" s="442" t="s">
        <v>294</v>
      </c>
      <c r="F92" s="421"/>
      <c r="G92" s="421"/>
      <c r="H92" s="421"/>
      <c r="I92" s="421"/>
      <c r="J92" s="430"/>
      <c r="K92" s="430"/>
      <c r="L92" s="430"/>
      <c r="N92" s="370"/>
      <c r="O92" s="19"/>
      <c r="AG92" s="35"/>
      <c r="AJ92"/>
    </row>
    <row r="93" spans="1:36" ht="15">
      <c r="A93" s="3"/>
      <c r="B93" s="94" t="s">
        <v>379</v>
      </c>
      <c r="C93" s="427"/>
      <c r="D93" s="443"/>
      <c r="E93" s="444">
        <f>C93-D93</f>
        <v>0</v>
      </c>
      <c r="F93" s="421"/>
      <c r="G93" s="421"/>
      <c r="H93" s="421"/>
      <c r="I93" s="421"/>
      <c r="J93" s="430"/>
      <c r="K93" s="430"/>
      <c r="L93" s="430"/>
      <c r="N93" s="370"/>
      <c r="O93" s="19"/>
      <c r="AG93" s="35"/>
      <c r="AJ93"/>
    </row>
    <row r="94" spans="1:36" ht="15.75" thickBot="1">
      <c r="A94" s="3"/>
      <c r="B94" s="95" t="s">
        <v>380</v>
      </c>
      <c r="C94" s="429"/>
      <c r="D94" s="433"/>
      <c r="E94" s="444"/>
      <c r="F94" s="421"/>
      <c r="G94" s="421"/>
      <c r="H94" s="421"/>
      <c r="I94" s="421"/>
      <c r="J94" s="430"/>
      <c r="K94" s="430"/>
      <c r="L94" s="430"/>
      <c r="N94" s="370"/>
      <c r="O94" s="19"/>
      <c r="AG94" s="35"/>
      <c r="AJ94"/>
    </row>
    <row r="95" spans="1:19" ht="15">
      <c r="A95" s="3"/>
      <c r="B95" s="2"/>
      <c r="C95" s="421"/>
      <c r="D95" s="421"/>
      <c r="E95" s="421"/>
      <c r="F95" s="421"/>
      <c r="G95" s="421"/>
      <c r="H95" s="421"/>
      <c r="I95" s="421"/>
      <c r="J95" s="421"/>
      <c r="K95" s="421"/>
      <c r="L95" s="421"/>
      <c r="M95" s="421"/>
      <c r="N95" s="430"/>
      <c r="O95" s="19"/>
      <c r="P95" s="528"/>
      <c r="S95" s="528"/>
    </row>
    <row r="96" spans="1:19" ht="18.75">
      <c r="A96" s="3"/>
      <c r="B96" s="93" t="s">
        <v>381</v>
      </c>
      <c r="C96" s="421"/>
      <c r="D96" s="421"/>
      <c r="E96" s="421"/>
      <c r="F96" s="421"/>
      <c r="G96" s="421"/>
      <c r="H96" s="421"/>
      <c r="I96" s="421"/>
      <c r="J96" s="421"/>
      <c r="K96" s="421"/>
      <c r="L96" s="421"/>
      <c r="M96" s="421"/>
      <c r="N96" s="430"/>
      <c r="O96" s="19"/>
      <c r="P96" s="528"/>
      <c r="S96" s="528"/>
    </row>
    <row r="97" spans="1:19" ht="15.75" thickBot="1">
      <c r="A97" s="3"/>
      <c r="B97" s="2"/>
      <c r="C97" s="445" t="str">
        <f aca="true" t="shared" si="5" ref="C97:N97">C28</f>
        <v>P1:July-Sept. 2015</v>
      </c>
      <c r="D97" s="445" t="str">
        <f t="shared" si="5"/>
        <v>P2:Oct.-Dec. 2015</v>
      </c>
      <c r="E97" s="445" t="str">
        <f t="shared" si="5"/>
        <v>P3:Jan-Mar. 2016</v>
      </c>
      <c r="F97" s="445">
        <f t="shared" si="5"/>
        <v>0</v>
      </c>
      <c r="G97" s="445">
        <f t="shared" si="5"/>
        <v>0</v>
      </c>
      <c r="H97" s="445">
        <f t="shared" si="5"/>
        <v>0</v>
      </c>
      <c r="I97" s="445">
        <f t="shared" si="5"/>
        <v>0</v>
      </c>
      <c r="J97" s="445">
        <f t="shared" si="5"/>
        <v>0</v>
      </c>
      <c r="K97" s="445">
        <f t="shared" si="5"/>
        <v>0</v>
      </c>
      <c r="L97" s="446">
        <f t="shared" si="5"/>
        <v>0</v>
      </c>
      <c r="M97" s="446">
        <f t="shared" si="5"/>
        <v>0</v>
      </c>
      <c r="N97" s="446">
        <f t="shared" si="5"/>
        <v>0</v>
      </c>
      <c r="O97" s="20"/>
      <c r="P97" s="529"/>
      <c r="S97" s="528"/>
    </row>
    <row r="98" spans="1:19" ht="15">
      <c r="A98" s="3"/>
      <c r="B98" s="184"/>
      <c r="C98" s="447" t="s">
        <v>113</v>
      </c>
      <c r="D98" s="447" t="s">
        <v>114</v>
      </c>
      <c r="E98" s="447" t="s">
        <v>115</v>
      </c>
      <c r="F98" s="447" t="s">
        <v>116</v>
      </c>
      <c r="G98" s="447" t="s">
        <v>127</v>
      </c>
      <c r="H98" s="447" t="s">
        <v>128</v>
      </c>
      <c r="I98" s="447" t="s">
        <v>129</v>
      </c>
      <c r="J98" s="447" t="s">
        <v>130</v>
      </c>
      <c r="K98" s="447" t="s">
        <v>131</v>
      </c>
      <c r="L98" s="447" t="s">
        <v>132</v>
      </c>
      <c r="M98" s="447" t="s">
        <v>133</v>
      </c>
      <c r="N98" s="448" t="s">
        <v>293</v>
      </c>
      <c r="O98" s="20"/>
      <c r="P98" s="529"/>
      <c r="S98" s="528"/>
    </row>
    <row r="99" spans="1:19" ht="15" customHeight="1">
      <c r="A99" s="3"/>
      <c r="B99" s="253" t="s">
        <v>359</v>
      </c>
      <c r="C99" s="449">
        <f>1608377.61+56868.17+965420.4</f>
        <v>2630666.18</v>
      </c>
      <c r="D99" s="449"/>
      <c r="E99" s="449"/>
      <c r="F99" s="449"/>
      <c r="G99" s="449"/>
      <c r="H99" s="449"/>
      <c r="I99" s="449"/>
      <c r="J99" s="449"/>
      <c r="K99" s="449"/>
      <c r="L99" s="449"/>
      <c r="M99" s="449"/>
      <c r="N99" s="449"/>
      <c r="O99" s="20"/>
      <c r="P99" s="529"/>
      <c r="S99" s="528"/>
    </row>
    <row r="100" spans="1:19" ht="15" customHeight="1">
      <c r="A100" s="3"/>
      <c r="B100" s="253" t="s">
        <v>356</v>
      </c>
      <c r="C100" s="449"/>
      <c r="D100" s="449"/>
      <c r="E100" s="449"/>
      <c r="F100" s="449"/>
      <c r="G100" s="449"/>
      <c r="H100" s="449"/>
      <c r="I100" s="449"/>
      <c r="J100" s="449"/>
      <c r="K100" s="449"/>
      <c r="L100" s="449"/>
      <c r="M100" s="449"/>
      <c r="N100" s="449"/>
      <c r="O100" s="20"/>
      <c r="P100" s="529"/>
      <c r="S100" s="528"/>
    </row>
    <row r="101" spans="1:19" ht="15" customHeight="1">
      <c r="A101" s="3"/>
      <c r="B101" s="253" t="s">
        <v>318</v>
      </c>
      <c r="C101" s="449">
        <f>2470929.37+502359.45+224430.72</f>
        <v>3197719.5400000005</v>
      </c>
      <c r="D101" s="449"/>
      <c r="E101" s="449"/>
      <c r="F101" s="449"/>
      <c r="G101" s="449"/>
      <c r="H101" s="449"/>
      <c r="I101" s="449"/>
      <c r="J101" s="449"/>
      <c r="K101" s="449"/>
      <c r="L101" s="449"/>
      <c r="M101" s="449"/>
      <c r="N101" s="449"/>
      <c r="O101" s="20"/>
      <c r="P101" s="529"/>
      <c r="S101" s="528"/>
    </row>
    <row r="102" spans="1:19" ht="15" customHeight="1">
      <c r="A102" s="3"/>
      <c r="B102" s="222" t="s">
        <v>359</v>
      </c>
      <c r="C102" s="450">
        <f>C99</f>
        <v>2630666.18</v>
      </c>
      <c r="D102" s="450">
        <f aca="true" t="shared" si="6" ref="D102:N102">+C102+D99</f>
        <v>2630666.18</v>
      </c>
      <c r="E102" s="450">
        <f t="shared" si="6"/>
        <v>2630666.18</v>
      </c>
      <c r="F102" s="450">
        <f t="shared" si="6"/>
        <v>2630666.18</v>
      </c>
      <c r="G102" s="450">
        <f t="shared" si="6"/>
        <v>2630666.18</v>
      </c>
      <c r="H102" s="450">
        <f t="shared" si="6"/>
        <v>2630666.18</v>
      </c>
      <c r="I102" s="450">
        <f t="shared" si="6"/>
        <v>2630666.18</v>
      </c>
      <c r="J102" s="450">
        <f>+I102+J99</f>
        <v>2630666.18</v>
      </c>
      <c r="K102" s="450">
        <f>+J102+K99</f>
        <v>2630666.18</v>
      </c>
      <c r="L102" s="450">
        <f t="shared" si="6"/>
        <v>2630666.18</v>
      </c>
      <c r="M102" s="450">
        <f t="shared" si="6"/>
        <v>2630666.18</v>
      </c>
      <c r="N102" s="450">
        <f t="shared" si="6"/>
        <v>2630666.18</v>
      </c>
      <c r="O102" s="20"/>
      <c r="P102" s="529"/>
      <c r="S102" s="528"/>
    </row>
    <row r="103" spans="1:19" ht="15" customHeight="1">
      <c r="A103" s="3"/>
      <c r="B103" s="222" t="s">
        <v>10</v>
      </c>
      <c r="C103" s="450">
        <v>0</v>
      </c>
      <c r="D103" s="450">
        <f aca="true" t="shared" si="7" ref="D103:L103">+C103+D100</f>
        <v>0</v>
      </c>
      <c r="E103" s="450">
        <f>+D103+E100</f>
        <v>0</v>
      </c>
      <c r="F103" s="450">
        <f t="shared" si="7"/>
        <v>0</v>
      </c>
      <c r="G103" s="450">
        <f t="shared" si="7"/>
        <v>0</v>
      </c>
      <c r="H103" s="450">
        <f t="shared" si="7"/>
        <v>0</v>
      </c>
      <c r="I103" s="450">
        <f t="shared" si="7"/>
        <v>0</v>
      </c>
      <c r="J103" s="450">
        <v>0</v>
      </c>
      <c r="K103" s="450">
        <f t="shared" si="7"/>
        <v>0</v>
      </c>
      <c r="L103" s="450">
        <f t="shared" si="7"/>
        <v>0</v>
      </c>
      <c r="M103" s="450"/>
      <c r="N103" s="450"/>
      <c r="O103" s="20"/>
      <c r="P103" s="529"/>
      <c r="S103" s="528"/>
    </row>
    <row r="104" spans="1:19" ht="15">
      <c r="A104" s="3"/>
      <c r="B104" s="223" t="s">
        <v>11</v>
      </c>
      <c r="C104" s="451">
        <f>C101</f>
        <v>3197719.5400000005</v>
      </c>
      <c r="D104" s="450">
        <f>C104+D101</f>
        <v>3197719.5400000005</v>
      </c>
      <c r="E104" s="450">
        <f>D104+E101</f>
        <v>3197719.5400000005</v>
      </c>
      <c r="F104" s="450">
        <f aca="true" t="shared" si="8" ref="F104:N104">+E104+F101</f>
        <v>3197719.5400000005</v>
      </c>
      <c r="G104" s="450">
        <f t="shared" si="8"/>
        <v>3197719.5400000005</v>
      </c>
      <c r="H104" s="450">
        <f t="shared" si="8"/>
        <v>3197719.5400000005</v>
      </c>
      <c r="I104" s="450">
        <f t="shared" si="8"/>
        <v>3197719.5400000005</v>
      </c>
      <c r="J104" s="450">
        <f>+I104+J101</f>
        <v>3197719.5400000005</v>
      </c>
      <c r="K104" s="450">
        <f t="shared" si="8"/>
        <v>3197719.5400000005</v>
      </c>
      <c r="L104" s="450">
        <f t="shared" si="8"/>
        <v>3197719.5400000005</v>
      </c>
      <c r="M104" s="450">
        <f t="shared" si="8"/>
        <v>3197719.5400000005</v>
      </c>
      <c r="N104" s="450">
        <f t="shared" si="8"/>
        <v>3197719.5400000005</v>
      </c>
      <c r="O104" s="20"/>
      <c r="P104" s="529"/>
      <c r="S104" s="528"/>
    </row>
    <row r="105" spans="1:19" ht="15">
      <c r="A105" s="3"/>
      <c r="B105" s="3"/>
      <c r="C105" s="421"/>
      <c r="D105" s="421"/>
      <c r="E105" s="421"/>
      <c r="F105" s="421"/>
      <c r="G105" s="421"/>
      <c r="H105" s="421"/>
      <c r="I105" s="376"/>
      <c r="J105" s="452"/>
      <c r="K105" s="98"/>
      <c r="L105" s="376"/>
      <c r="M105" s="376"/>
      <c r="N105" s="346"/>
      <c r="O105" s="20"/>
      <c r="P105" s="529"/>
      <c r="S105" s="528"/>
    </row>
    <row r="106" spans="1:19" ht="15">
      <c r="A106" s="3"/>
      <c r="B106" s="2" t="s">
        <v>392</v>
      </c>
      <c r="C106" s="421"/>
      <c r="D106" s="421"/>
      <c r="E106" s="421"/>
      <c r="F106" s="421"/>
      <c r="G106" s="421"/>
      <c r="H106" s="421"/>
      <c r="I106" s="376"/>
      <c r="J106" s="452"/>
      <c r="K106" s="98"/>
      <c r="L106" s="376"/>
      <c r="M106" s="376"/>
      <c r="N106" s="346"/>
      <c r="O106" s="20"/>
      <c r="P106" s="529"/>
      <c r="S106" s="528"/>
    </row>
    <row r="107" spans="1:19" ht="15">
      <c r="A107" s="3"/>
      <c r="C107" s="421"/>
      <c r="D107" s="421"/>
      <c r="E107" s="421"/>
      <c r="F107" s="421"/>
      <c r="G107" s="421"/>
      <c r="H107" s="421"/>
      <c r="I107" s="376"/>
      <c r="J107" s="452"/>
      <c r="K107" s="376"/>
      <c r="L107" s="376"/>
      <c r="M107" s="376"/>
      <c r="N107" s="346"/>
      <c r="O107" s="20"/>
      <c r="P107" s="529"/>
      <c r="S107" s="528"/>
    </row>
    <row r="108" spans="1:16" ht="15">
      <c r="A108" s="3"/>
      <c r="B108" s="3"/>
      <c r="C108" s="331"/>
      <c r="D108" s="331"/>
      <c r="E108" s="331"/>
      <c r="F108" s="331"/>
      <c r="G108" s="331"/>
      <c r="H108" s="331"/>
      <c r="I108" s="376"/>
      <c r="J108" s="376"/>
      <c r="K108" s="376"/>
      <c r="L108" s="376"/>
      <c r="M108" s="376"/>
      <c r="N108" s="346"/>
      <c r="O108" s="20"/>
      <c r="P108" s="529"/>
    </row>
    <row r="109" spans="1:16" ht="18.75">
      <c r="A109" s="3"/>
      <c r="B109" s="93" t="s">
        <v>375</v>
      </c>
      <c r="C109" s="331"/>
      <c r="D109" s="331"/>
      <c r="E109" s="331"/>
      <c r="F109" s="331"/>
      <c r="G109" s="331"/>
      <c r="H109" s="331"/>
      <c r="I109" s="376"/>
      <c r="J109" s="376"/>
      <c r="K109" s="376"/>
      <c r="L109" s="376"/>
      <c r="M109" s="376"/>
      <c r="N109" s="346"/>
      <c r="O109" s="20"/>
      <c r="P109" s="529"/>
    </row>
    <row r="110" spans="1:19" ht="15.75" thickBot="1">
      <c r="A110" s="3"/>
      <c r="B110" s="3"/>
      <c r="C110" s="376"/>
      <c r="D110" s="376"/>
      <c r="E110" s="376"/>
      <c r="F110" s="376"/>
      <c r="G110" s="421"/>
      <c r="H110" s="421"/>
      <c r="I110" s="421"/>
      <c r="J110" s="376"/>
      <c r="K110" s="421"/>
      <c r="L110" s="376"/>
      <c r="M110" s="376"/>
      <c r="N110" s="346"/>
      <c r="O110" s="20"/>
      <c r="P110" s="529"/>
      <c r="Q110" s="528"/>
      <c r="S110" s="529"/>
    </row>
    <row r="111" spans="1:18" ht="81.75" customHeight="1">
      <c r="A111" s="3"/>
      <c r="B111" s="224" t="s">
        <v>40</v>
      </c>
      <c r="C111" s="453" t="s">
        <v>87</v>
      </c>
      <c r="D111" s="454" t="s">
        <v>358</v>
      </c>
      <c r="E111" s="454" t="s">
        <v>413</v>
      </c>
      <c r="F111" s="454" t="s">
        <v>411</v>
      </c>
      <c r="G111" s="454" t="s">
        <v>414</v>
      </c>
      <c r="H111" s="454" t="s">
        <v>412</v>
      </c>
      <c r="I111" s="454" t="s">
        <v>415</v>
      </c>
      <c r="J111" s="454" t="s">
        <v>339</v>
      </c>
      <c r="K111" s="455" t="s">
        <v>416</v>
      </c>
      <c r="L111" s="421"/>
      <c r="M111" s="346"/>
      <c r="N111" s="346"/>
      <c r="O111" s="20"/>
      <c r="P111" s="528"/>
      <c r="R111" s="20"/>
    </row>
    <row r="112" spans="1:18" ht="15">
      <c r="A112" s="3"/>
      <c r="B112" s="696"/>
      <c r="C112" s="456"/>
      <c r="D112" s="456"/>
      <c r="E112" s="457"/>
      <c r="F112" s="456"/>
      <c r="G112" s="457"/>
      <c r="H112" s="456"/>
      <c r="I112" s="458"/>
      <c r="J112" s="443"/>
      <c r="K112" s="457">
        <f>IF(AND(I112&gt;0,J112&gt;0),I112-J112,"")</f>
      </c>
      <c r="L112" s="421"/>
      <c r="M112" s="346"/>
      <c r="N112" s="346"/>
      <c r="O112" s="20"/>
      <c r="P112" s="528"/>
      <c r="R112" s="20"/>
    </row>
    <row r="113" spans="1:16" ht="15">
      <c r="A113" s="3"/>
      <c r="B113" s="697"/>
      <c r="C113" s="456"/>
      <c r="D113" s="456"/>
      <c r="E113" s="457"/>
      <c r="F113" s="456"/>
      <c r="G113" s="457"/>
      <c r="H113" s="456"/>
      <c r="I113" s="458"/>
      <c r="J113" s="443"/>
      <c r="K113" s="457">
        <f>IF(AND(I113&gt;0,J113&gt;0),I113-J113,"")</f>
      </c>
      <c r="L113" s="421"/>
      <c r="M113" s="346"/>
      <c r="N113" s="346"/>
      <c r="O113" s="20"/>
      <c r="P113" s="528"/>
    </row>
    <row r="114" spans="1:18" ht="15">
      <c r="A114" s="3"/>
      <c r="B114" s="697"/>
      <c r="C114" s="456"/>
      <c r="D114" s="456"/>
      <c r="E114" s="457"/>
      <c r="F114" s="456"/>
      <c r="G114" s="457"/>
      <c r="H114" s="456"/>
      <c r="I114" s="458"/>
      <c r="J114" s="443"/>
      <c r="K114" s="457">
        <f>IF(AND(I114&gt;0,J114&gt;0),I114-J114,"")</f>
      </c>
      <c r="L114" s="509" t="s">
        <v>429</v>
      </c>
      <c r="M114" s="346"/>
      <c r="N114" s="346"/>
      <c r="O114" s="20"/>
      <c r="P114" s="528"/>
      <c r="R114" s="20"/>
    </row>
    <row r="115" spans="1:18" ht="15.75" thickBot="1">
      <c r="A115" s="3"/>
      <c r="B115" s="698"/>
      <c r="C115" s="459"/>
      <c r="D115" s="460"/>
      <c r="E115" s="457"/>
      <c r="F115" s="456"/>
      <c r="G115" s="457"/>
      <c r="H115" s="456"/>
      <c r="I115" s="458"/>
      <c r="J115" s="461"/>
      <c r="K115" s="457">
        <f>IF(AND(I115&gt;0,J115&gt;0),I115-J115,"")</f>
      </c>
      <c r="L115" s="421"/>
      <c r="M115" s="346"/>
      <c r="N115" s="346"/>
      <c r="O115" s="20"/>
      <c r="P115" s="528"/>
      <c r="R115" s="20"/>
    </row>
    <row r="116" spans="1:19" ht="15">
      <c r="A116" s="3"/>
      <c r="B116" s="3"/>
      <c r="C116" s="331"/>
      <c r="D116" s="462"/>
      <c r="E116" s="331"/>
      <c r="F116" s="462"/>
      <c r="G116" s="421"/>
      <c r="H116" s="445"/>
      <c r="I116" s="421"/>
      <c r="J116" s="355"/>
      <c r="K116" s="331"/>
      <c r="L116" s="421"/>
      <c r="M116" s="421"/>
      <c r="N116" s="346"/>
      <c r="O116" s="20"/>
      <c r="P116" s="529"/>
      <c r="Q116" s="528"/>
      <c r="S116" s="529"/>
    </row>
    <row r="117" spans="1:13" ht="15.75" thickBot="1">
      <c r="A117" s="3"/>
      <c r="B117" s="3"/>
      <c r="C117" s="331"/>
      <c r="D117" s="331"/>
      <c r="E117" s="331"/>
      <c r="F117" s="331"/>
      <c r="G117" s="331"/>
      <c r="H117" s="331"/>
      <c r="I117" s="421"/>
      <c r="J117" s="418"/>
      <c r="K117" s="418"/>
      <c r="L117" s="331"/>
      <c r="M117" s="331"/>
    </row>
    <row r="118" spans="1:17" ht="19.5" thickBot="1">
      <c r="A118" s="3"/>
      <c r="B118" s="199" t="s">
        <v>382</v>
      </c>
      <c r="C118" s="463"/>
      <c r="D118" s="463"/>
      <c r="E118" s="464"/>
      <c r="F118" s="464"/>
      <c r="G118" s="464"/>
      <c r="H118" s="465"/>
      <c r="I118" s="466"/>
      <c r="J118" s="467"/>
      <c r="K118" s="468" t="s">
        <v>362</v>
      </c>
      <c r="L118" s="464"/>
      <c r="M118" s="469"/>
      <c r="N118" s="470"/>
      <c r="O118" s="244"/>
      <c r="P118" s="530"/>
      <c r="Q118" s="537"/>
    </row>
    <row r="119" spans="1:19" ht="15.75" thickBot="1">
      <c r="A119" s="3"/>
      <c r="B119" s="3"/>
      <c r="C119" s="331"/>
      <c r="D119" s="331"/>
      <c r="E119" s="331"/>
      <c r="F119" s="331"/>
      <c r="G119" s="331"/>
      <c r="H119" s="551" t="str">
        <f aca="true" t="shared" si="9" ref="H119:Q119">C28</f>
        <v>P1:July-Sept. 2015</v>
      </c>
      <c r="I119" s="462" t="str">
        <f t="shared" si="9"/>
        <v>P2:Oct.-Dec. 2015</v>
      </c>
      <c r="J119" s="462" t="str">
        <f t="shared" si="9"/>
        <v>P3:Jan-Mar. 2016</v>
      </c>
      <c r="K119" s="462">
        <f t="shared" si="9"/>
        <v>0</v>
      </c>
      <c r="L119" s="462">
        <f t="shared" si="9"/>
        <v>0</v>
      </c>
      <c r="M119" s="462">
        <f t="shared" si="9"/>
        <v>0</v>
      </c>
      <c r="N119" s="462">
        <f t="shared" si="9"/>
        <v>0</v>
      </c>
      <c r="O119" s="462">
        <f t="shared" si="9"/>
        <v>0</v>
      </c>
      <c r="P119" s="531">
        <f t="shared" si="9"/>
        <v>0</v>
      </c>
      <c r="Q119" s="531">
        <f t="shared" si="9"/>
        <v>0</v>
      </c>
      <c r="R119" s="283"/>
      <c r="S119" s="553" t="s">
        <v>455</v>
      </c>
    </row>
    <row r="120" spans="1:20" ht="15">
      <c r="A120" s="3"/>
      <c r="B120" s="737" t="s">
        <v>385</v>
      </c>
      <c r="C120" s="738"/>
      <c r="D120" s="739"/>
      <c r="E120" s="471" t="s">
        <v>331</v>
      </c>
      <c r="F120" s="472" t="s">
        <v>341</v>
      </c>
      <c r="G120" s="473"/>
      <c r="H120" s="474" t="s">
        <v>113</v>
      </c>
      <c r="I120" s="474" t="s">
        <v>114</v>
      </c>
      <c r="J120" s="474" t="s">
        <v>115</v>
      </c>
      <c r="K120" s="474" t="s">
        <v>116</v>
      </c>
      <c r="L120" s="474" t="s">
        <v>127</v>
      </c>
      <c r="M120" s="474" t="s">
        <v>128</v>
      </c>
      <c r="N120" s="474" t="s">
        <v>129</v>
      </c>
      <c r="O120" s="474" t="s">
        <v>130</v>
      </c>
      <c r="P120" s="474" t="s">
        <v>131</v>
      </c>
      <c r="Q120" s="474" t="s">
        <v>132</v>
      </c>
      <c r="R120" s="259"/>
      <c r="S120" s="539" t="s">
        <v>113</v>
      </c>
      <c r="T120" s="59"/>
    </row>
    <row r="121" spans="1:20" ht="1.5" customHeight="1">
      <c r="A121" s="3"/>
      <c r="B121" s="280"/>
      <c r="C121" s="475"/>
      <c r="D121" s="475"/>
      <c r="E121" s="476"/>
      <c r="F121" s="477"/>
      <c r="G121" s="478"/>
      <c r="H121" s="479"/>
      <c r="I121" s="479"/>
      <c r="J121" s="479"/>
      <c r="K121" s="479"/>
      <c r="L121" s="479"/>
      <c r="M121" s="479"/>
      <c r="N121" s="479"/>
      <c r="O121" s="479"/>
      <c r="P121" s="532"/>
      <c r="Q121" s="532"/>
      <c r="R121" s="281"/>
      <c r="S121" s="540"/>
      <c r="T121" s="59"/>
    </row>
    <row r="122" spans="1:20" ht="15" customHeight="1">
      <c r="A122" s="745" t="s">
        <v>366</v>
      </c>
      <c r="B122" s="731" t="s">
        <v>449</v>
      </c>
      <c r="C122" s="732"/>
      <c r="D122" s="733"/>
      <c r="E122" s="480"/>
      <c r="F122" s="661" t="s">
        <v>430</v>
      </c>
      <c r="G122" s="481" t="s">
        <v>93</v>
      </c>
      <c r="H122" s="514">
        <v>97889</v>
      </c>
      <c r="I122" s="517"/>
      <c r="J122" s="517"/>
      <c r="K122" s="520"/>
      <c r="L122" s="519"/>
      <c r="M122" s="519"/>
      <c r="N122" s="518"/>
      <c r="O122" s="518"/>
      <c r="P122" s="533"/>
      <c r="Q122" s="533"/>
      <c r="R122" s="200"/>
      <c r="S122" s="514">
        <v>97889</v>
      </c>
      <c r="T122" s="316" t="str">
        <f aca="true" t="shared" si="10" ref="T122:T133">G122</f>
        <v>Target</v>
      </c>
    </row>
    <row r="123" spans="1:20" ht="15" customHeight="1">
      <c r="A123" s="745"/>
      <c r="B123" s="734"/>
      <c r="C123" s="735"/>
      <c r="D123" s="736"/>
      <c r="E123" s="483"/>
      <c r="F123" s="662"/>
      <c r="G123" s="481" t="s">
        <v>94</v>
      </c>
      <c r="H123" s="514">
        <v>95989</v>
      </c>
      <c r="I123" s="510"/>
      <c r="J123" s="518"/>
      <c r="K123" s="510"/>
      <c r="L123" s="518"/>
      <c r="M123" s="522"/>
      <c r="N123" s="518"/>
      <c r="O123" s="518"/>
      <c r="P123" s="533"/>
      <c r="Q123" s="533"/>
      <c r="R123" s="200"/>
      <c r="S123" s="514">
        <v>95989</v>
      </c>
      <c r="T123" s="316" t="str">
        <f t="shared" si="10"/>
        <v>Achieved </v>
      </c>
    </row>
    <row r="124" spans="1:20" ht="15" customHeight="1">
      <c r="A124" s="745"/>
      <c r="B124" s="711"/>
      <c r="C124" s="712"/>
      <c r="D124" s="713"/>
      <c r="E124" s="554"/>
      <c r="F124" s="661" t="s">
        <v>430</v>
      </c>
      <c r="G124" s="484" t="s">
        <v>93</v>
      </c>
      <c r="H124" s="515"/>
      <c r="I124" s="517"/>
      <c r="J124" s="517"/>
      <c r="K124" s="517"/>
      <c r="L124" s="521"/>
      <c r="M124" s="521"/>
      <c r="N124" s="513"/>
      <c r="O124" s="513"/>
      <c r="P124" s="533"/>
      <c r="Q124" s="535"/>
      <c r="R124" s="100"/>
      <c r="S124" s="515"/>
      <c r="T124" s="317"/>
    </row>
    <row r="125" spans="1:20" ht="15">
      <c r="A125" s="745"/>
      <c r="B125" s="714"/>
      <c r="C125" s="715"/>
      <c r="D125" s="716"/>
      <c r="E125" s="555"/>
      <c r="F125" s="663"/>
      <c r="G125" s="484" t="s">
        <v>94</v>
      </c>
      <c r="H125" s="515"/>
      <c r="I125" s="510"/>
      <c r="J125" s="513"/>
      <c r="K125" s="510"/>
      <c r="L125" s="510"/>
      <c r="M125" s="513"/>
      <c r="N125" s="549"/>
      <c r="O125" s="549"/>
      <c r="P125" s="534"/>
      <c r="Q125" s="534"/>
      <c r="R125" s="100"/>
      <c r="S125" s="515"/>
      <c r="T125" s="317"/>
    </row>
    <row r="126" spans="1:20" ht="15" customHeight="1">
      <c r="A126" s="745"/>
      <c r="B126" s="731" t="s">
        <v>451</v>
      </c>
      <c r="C126" s="732"/>
      <c r="D126" s="733"/>
      <c r="E126" s="669"/>
      <c r="F126" s="661" t="s">
        <v>430</v>
      </c>
      <c r="G126" s="481" t="s">
        <v>93</v>
      </c>
      <c r="H126" s="514">
        <v>767363</v>
      </c>
      <c r="I126" s="517"/>
      <c r="J126" s="517"/>
      <c r="K126" s="517"/>
      <c r="L126" s="510"/>
      <c r="M126" s="510"/>
      <c r="N126" s="518"/>
      <c r="O126" s="518"/>
      <c r="P126" s="533"/>
      <c r="Q126" s="533"/>
      <c r="R126" s="200"/>
      <c r="S126" s="514">
        <v>767363</v>
      </c>
      <c r="T126" s="316" t="str">
        <f t="shared" si="10"/>
        <v>Target</v>
      </c>
    </row>
    <row r="127" spans="1:20" ht="15" customHeight="1">
      <c r="A127" s="745"/>
      <c r="B127" s="734"/>
      <c r="C127" s="735"/>
      <c r="D127" s="736"/>
      <c r="E127" s="669"/>
      <c r="F127" s="662"/>
      <c r="G127" s="481" t="s">
        <v>94</v>
      </c>
      <c r="H127" s="514">
        <v>546636</v>
      </c>
      <c r="I127" s="510"/>
      <c r="J127" s="518"/>
      <c r="K127" s="510"/>
      <c r="L127" s="510"/>
      <c r="M127" s="522"/>
      <c r="N127" s="518"/>
      <c r="O127" s="518"/>
      <c r="P127" s="533"/>
      <c r="Q127" s="533"/>
      <c r="R127" s="200"/>
      <c r="S127" s="514">
        <v>546636</v>
      </c>
      <c r="T127" s="316" t="str">
        <f t="shared" si="10"/>
        <v>Achieved </v>
      </c>
    </row>
    <row r="128" spans="1:20" ht="15" customHeight="1">
      <c r="A128" s="3"/>
      <c r="B128" s="682" t="s">
        <v>452</v>
      </c>
      <c r="C128" s="683"/>
      <c r="D128" s="684"/>
      <c r="E128" s="672"/>
      <c r="F128" s="661" t="s">
        <v>430</v>
      </c>
      <c r="G128" s="484" t="s">
        <v>93</v>
      </c>
      <c r="H128" s="515">
        <v>11774</v>
      </c>
      <c r="I128" s="517"/>
      <c r="J128" s="517"/>
      <c r="K128" s="517"/>
      <c r="L128" s="510"/>
      <c r="M128" s="510"/>
      <c r="N128" s="513"/>
      <c r="O128" s="513"/>
      <c r="P128" s="533"/>
      <c r="Q128" s="533"/>
      <c r="R128" s="100"/>
      <c r="S128" s="515">
        <v>11774</v>
      </c>
      <c r="T128" s="317" t="str">
        <f t="shared" si="10"/>
        <v>Target</v>
      </c>
    </row>
    <row r="129" spans="1:20" ht="15" customHeight="1">
      <c r="A129" s="3"/>
      <c r="B129" s="685"/>
      <c r="C129" s="683"/>
      <c r="D129" s="684"/>
      <c r="E129" s="672"/>
      <c r="F129" s="662"/>
      <c r="G129" s="484" t="s">
        <v>94</v>
      </c>
      <c r="H129" s="515">
        <v>5751</v>
      </c>
      <c r="I129" s="510"/>
      <c r="J129" s="510"/>
      <c r="K129" s="510"/>
      <c r="L129" s="513"/>
      <c r="M129" s="512"/>
      <c r="N129" s="513"/>
      <c r="O129" s="513"/>
      <c r="P129" s="535"/>
      <c r="Q129" s="535"/>
      <c r="R129" s="100"/>
      <c r="S129" s="515">
        <v>5751</v>
      </c>
      <c r="T129" s="317" t="str">
        <f t="shared" si="10"/>
        <v>Achieved </v>
      </c>
    </row>
    <row r="130" spans="1:20" ht="15" customHeight="1">
      <c r="A130" s="3"/>
      <c r="B130" s="682" t="s">
        <v>453</v>
      </c>
      <c r="C130" s="683"/>
      <c r="D130" s="684"/>
      <c r="E130" s="669"/>
      <c r="F130" s="661" t="s">
        <v>430</v>
      </c>
      <c r="G130" s="481" t="s">
        <v>93</v>
      </c>
      <c r="H130" s="514">
        <v>10085</v>
      </c>
      <c r="I130" s="517"/>
      <c r="J130" s="517"/>
      <c r="K130" s="517"/>
      <c r="L130" s="518"/>
      <c r="M130" s="522"/>
      <c r="N130" s="511"/>
      <c r="O130" s="511"/>
      <c r="P130" s="533"/>
      <c r="Q130" s="533"/>
      <c r="R130" s="200"/>
      <c r="S130" s="514">
        <v>10085</v>
      </c>
      <c r="T130" s="316" t="str">
        <f t="shared" si="10"/>
        <v>Target</v>
      </c>
    </row>
    <row r="131" spans="1:20" ht="15">
      <c r="A131" s="3"/>
      <c r="B131" s="685"/>
      <c r="C131" s="683"/>
      <c r="D131" s="684"/>
      <c r="E131" s="669"/>
      <c r="F131" s="662"/>
      <c r="G131" s="481" t="s">
        <v>94</v>
      </c>
      <c r="H131" s="514">
        <v>3374</v>
      </c>
      <c r="I131" s="510"/>
      <c r="J131" s="518"/>
      <c r="K131" s="510"/>
      <c r="L131" s="518"/>
      <c r="M131" s="522"/>
      <c r="N131" s="518"/>
      <c r="O131" s="518"/>
      <c r="P131" s="533"/>
      <c r="Q131" s="533"/>
      <c r="R131" s="200"/>
      <c r="S131" s="514">
        <v>3374</v>
      </c>
      <c r="T131" s="316" t="str">
        <f t="shared" si="10"/>
        <v>Achieved </v>
      </c>
    </row>
    <row r="132" spans="1:20" ht="15" customHeight="1">
      <c r="A132" s="3"/>
      <c r="B132" s="705" t="s">
        <v>454</v>
      </c>
      <c r="C132" s="706"/>
      <c r="D132" s="707"/>
      <c r="E132" s="672"/>
      <c r="F132" s="661" t="s">
        <v>430</v>
      </c>
      <c r="G132" s="484" t="s">
        <v>93</v>
      </c>
      <c r="H132" s="516">
        <v>104666</v>
      </c>
      <c r="I132" s="513"/>
      <c r="J132" s="513"/>
      <c r="K132" s="513"/>
      <c r="L132" s="513"/>
      <c r="M132" s="513"/>
      <c r="N132" s="512"/>
      <c r="O132" s="512"/>
      <c r="P132" s="533"/>
      <c r="Q132" s="533"/>
      <c r="R132" s="99"/>
      <c r="S132" s="516">
        <v>104666</v>
      </c>
      <c r="T132" s="317" t="str">
        <f t="shared" si="10"/>
        <v>Target</v>
      </c>
    </row>
    <row r="133" spans="1:20" ht="15">
      <c r="A133" s="3"/>
      <c r="B133" s="708"/>
      <c r="C133" s="709"/>
      <c r="D133" s="710"/>
      <c r="E133" s="672"/>
      <c r="F133" s="662"/>
      <c r="G133" s="484" t="s">
        <v>94</v>
      </c>
      <c r="H133" s="516">
        <v>46336</v>
      </c>
      <c r="I133" s="510"/>
      <c r="J133" s="510"/>
      <c r="K133" s="512"/>
      <c r="L133" s="513"/>
      <c r="M133" s="512"/>
      <c r="N133" s="512"/>
      <c r="O133" s="512"/>
      <c r="P133" s="535"/>
      <c r="Q133" s="535"/>
      <c r="R133" s="99"/>
      <c r="S133" s="516">
        <v>46336</v>
      </c>
      <c r="T133" s="317" t="str">
        <f t="shared" si="10"/>
        <v>Achieved </v>
      </c>
    </row>
    <row r="134" spans="1:20" ht="15" customHeight="1">
      <c r="A134" s="3"/>
      <c r="B134" s="711" t="s">
        <v>450</v>
      </c>
      <c r="C134" s="712"/>
      <c r="D134" s="713"/>
      <c r="E134" s="673"/>
      <c r="F134" s="661" t="s">
        <v>430</v>
      </c>
      <c r="G134" s="484" t="s">
        <v>93</v>
      </c>
      <c r="H134" s="515">
        <v>1888489</v>
      </c>
      <c r="I134" s="541"/>
      <c r="J134" s="542"/>
      <c r="K134" s="542"/>
      <c r="L134" s="543"/>
      <c r="M134" s="544"/>
      <c r="N134" s="545"/>
      <c r="O134" s="545"/>
      <c r="P134" s="546"/>
      <c r="Q134" s="546"/>
      <c r="R134" s="547"/>
      <c r="S134" s="515">
        <v>1888489</v>
      </c>
      <c r="T134" s="317" t="str">
        <f>G134</f>
        <v>Target</v>
      </c>
    </row>
    <row r="135" spans="1:20" ht="15">
      <c r="A135" s="3"/>
      <c r="B135" s="714"/>
      <c r="C135" s="715"/>
      <c r="D135" s="716"/>
      <c r="E135" s="673"/>
      <c r="F135" s="662"/>
      <c r="G135" s="484" t="s">
        <v>94</v>
      </c>
      <c r="H135" s="515">
        <v>728698</v>
      </c>
      <c r="I135" s="545"/>
      <c r="J135" s="543"/>
      <c r="K135" s="548"/>
      <c r="L135" s="543"/>
      <c r="M135" s="544"/>
      <c r="N135" s="545"/>
      <c r="O135" s="545"/>
      <c r="P135" s="546"/>
      <c r="Q135" s="546"/>
      <c r="R135" s="547"/>
      <c r="S135" s="515">
        <v>728698</v>
      </c>
      <c r="T135" s="317" t="str">
        <f>G135</f>
        <v>Achieved </v>
      </c>
    </row>
    <row r="136" spans="1:20" ht="14.25" customHeight="1">
      <c r="A136" s="3"/>
      <c r="B136" s="685"/>
      <c r="C136" s="683"/>
      <c r="D136" s="684"/>
      <c r="E136" s="672"/>
      <c r="F136" s="661"/>
      <c r="G136" s="484"/>
      <c r="H136" s="226"/>
      <c r="I136" s="506"/>
      <c r="J136" s="485"/>
      <c r="K136" s="485"/>
      <c r="L136" s="485"/>
      <c r="M136" s="485"/>
      <c r="N136" s="485"/>
      <c r="O136" s="99"/>
      <c r="P136" s="99"/>
      <c r="Q136" s="99"/>
      <c r="R136" s="99"/>
      <c r="S136" s="535"/>
      <c r="T136" s="317"/>
    </row>
    <row r="137" spans="1:20" ht="15">
      <c r="A137" s="3"/>
      <c r="B137" s="685"/>
      <c r="C137" s="683"/>
      <c r="D137" s="684"/>
      <c r="E137" s="672"/>
      <c r="F137" s="662"/>
      <c r="G137" s="484"/>
      <c r="H137" s="226"/>
      <c r="I137" s="506"/>
      <c r="J137" s="485"/>
      <c r="K137" s="485"/>
      <c r="L137" s="485"/>
      <c r="M137" s="485"/>
      <c r="N137" s="485"/>
      <c r="O137" s="99"/>
      <c r="P137" s="99"/>
      <c r="Q137" s="99"/>
      <c r="R137" s="99"/>
      <c r="S137" s="226"/>
      <c r="T137" s="317"/>
    </row>
    <row r="138" spans="1:20" ht="14.25" customHeight="1">
      <c r="A138" s="3"/>
      <c r="B138" s="686"/>
      <c r="C138" s="687"/>
      <c r="D138" s="688"/>
      <c r="E138" s="669"/>
      <c r="F138" s="661"/>
      <c r="G138" s="481"/>
      <c r="H138" s="225"/>
      <c r="I138" s="505"/>
      <c r="J138" s="482"/>
      <c r="K138" s="482"/>
      <c r="L138" s="482"/>
      <c r="M138" s="482"/>
      <c r="N138" s="482"/>
      <c r="O138" s="200"/>
      <c r="P138" s="200"/>
      <c r="Q138" s="200"/>
      <c r="R138" s="200"/>
      <c r="S138" s="225"/>
      <c r="T138" s="316"/>
    </row>
    <row r="139" spans="1:20" ht="15.75" thickBot="1">
      <c r="A139" s="3"/>
      <c r="B139" s="689"/>
      <c r="C139" s="690"/>
      <c r="D139" s="691"/>
      <c r="E139" s="669"/>
      <c r="F139" s="662"/>
      <c r="G139" s="481"/>
      <c r="H139" s="225"/>
      <c r="I139" s="505"/>
      <c r="J139" s="482"/>
      <c r="K139" s="482"/>
      <c r="L139" s="482"/>
      <c r="M139" s="482"/>
      <c r="N139" s="482"/>
      <c r="O139" s="200"/>
      <c r="P139" s="200"/>
      <c r="Q139" s="200"/>
      <c r="R139" s="200"/>
      <c r="S139" s="225"/>
      <c r="T139" s="316"/>
    </row>
    <row r="140" spans="1:20" ht="14.25" customHeight="1">
      <c r="A140" s="3"/>
      <c r="B140" s="686"/>
      <c r="C140" s="687"/>
      <c r="D140" s="688"/>
      <c r="E140" s="672"/>
      <c r="F140" s="670"/>
      <c r="G140" s="484"/>
      <c r="H140" s="486"/>
      <c r="I140" s="507"/>
      <c r="J140" s="486"/>
      <c r="K140" s="486"/>
      <c r="L140" s="486"/>
      <c r="M140" s="486"/>
      <c r="N140" s="486"/>
      <c r="O140" s="99"/>
      <c r="P140" s="99"/>
      <c r="Q140" s="99"/>
      <c r="R140" s="99"/>
      <c r="S140" s="226"/>
      <c r="T140" s="317"/>
    </row>
    <row r="141" spans="1:20" ht="15.75" thickBot="1">
      <c r="A141" s="3"/>
      <c r="B141" s="689"/>
      <c r="C141" s="690"/>
      <c r="D141" s="691"/>
      <c r="E141" s="680"/>
      <c r="F141" s="671"/>
      <c r="G141" s="487"/>
      <c r="H141" s="488"/>
      <c r="I141" s="488"/>
      <c r="J141" s="488"/>
      <c r="K141" s="488"/>
      <c r="L141" s="488"/>
      <c r="M141" s="488"/>
      <c r="N141" s="488"/>
      <c r="O141" s="227"/>
      <c r="P141" s="227"/>
      <c r="Q141" s="227"/>
      <c r="R141" s="227"/>
      <c r="S141" s="228"/>
      <c r="T141" s="317"/>
    </row>
    <row r="142" spans="1:19" ht="15">
      <c r="A142" s="3"/>
      <c r="B142" s="3"/>
      <c r="C142" s="331"/>
      <c r="D142" s="331"/>
      <c r="E142" s="331"/>
      <c r="F142" s="331"/>
      <c r="G142" s="421"/>
      <c r="H142" s="331"/>
      <c r="I142" s="331"/>
      <c r="J142" s="331"/>
      <c r="K142" s="331"/>
      <c r="L142" s="331"/>
      <c r="M142" s="331"/>
      <c r="N142" s="331"/>
      <c r="O142" s="3"/>
      <c r="R142" s="35"/>
      <c r="S142" s="537"/>
    </row>
    <row r="143" spans="1:19" ht="15" customHeight="1">
      <c r="A143" s="3"/>
      <c r="B143" s="3"/>
      <c r="C143" s="331"/>
      <c r="D143" s="331"/>
      <c r="E143" s="331"/>
      <c r="F143" s="331"/>
      <c r="G143" s="421"/>
      <c r="H143" s="331"/>
      <c r="I143" s="331"/>
      <c r="J143" s="331"/>
      <c r="K143" s="331"/>
      <c r="L143" s="331"/>
      <c r="M143" s="331"/>
      <c r="N143" s="331"/>
      <c r="O143" s="3"/>
      <c r="R143" s="35"/>
      <c r="S143" s="537"/>
    </row>
    <row r="144" spans="1:19" ht="15">
      <c r="A144" s="3"/>
      <c r="B144" s="3"/>
      <c r="C144" s="331"/>
      <c r="D144" s="331"/>
      <c r="E144" s="331"/>
      <c r="F144" s="331"/>
      <c r="G144" s="421"/>
      <c r="H144" s="331"/>
      <c r="I144" s="331"/>
      <c r="J144" s="331"/>
      <c r="K144" s="331"/>
      <c r="L144" s="331"/>
      <c r="M144" s="331"/>
      <c r="N144" s="331"/>
      <c r="O144" s="3"/>
      <c r="R144" s="35"/>
      <c r="S144" s="537"/>
    </row>
    <row r="145" spans="1:19" ht="16.5" thickBot="1">
      <c r="A145" s="3"/>
      <c r="B145" s="229"/>
      <c r="C145" s="331"/>
      <c r="D145" s="331"/>
      <c r="E145" s="331"/>
      <c r="F145" s="331"/>
      <c r="G145" s="421"/>
      <c r="H145" s="331"/>
      <c r="I145" s="331"/>
      <c r="J145" s="331"/>
      <c r="K145" s="331"/>
      <c r="L145" s="331"/>
      <c r="M145" s="331"/>
      <c r="N145" s="331"/>
      <c r="O145" s="3"/>
      <c r="R145" s="35"/>
      <c r="S145" s="537"/>
    </row>
    <row r="146" spans="1:21" ht="15">
      <c r="A146" s="3"/>
      <c r="B146" s="3" t="s">
        <v>393</v>
      </c>
      <c r="C146" s="331"/>
      <c r="D146" s="331"/>
      <c r="E146" s="471" t="s">
        <v>331</v>
      </c>
      <c r="F146" s="472" t="s">
        <v>341</v>
      </c>
      <c r="G146" s="473"/>
      <c r="H146" s="474" t="str">
        <f aca="true" t="shared" si="11" ref="H146:S146">C30</f>
        <v>P1</v>
      </c>
      <c r="I146" s="474" t="str">
        <f t="shared" si="11"/>
        <v>P2</v>
      </c>
      <c r="J146" s="474" t="str">
        <f t="shared" si="11"/>
        <v>P3</v>
      </c>
      <c r="K146" s="474" t="str">
        <f t="shared" si="11"/>
        <v>P4</v>
      </c>
      <c r="L146" s="474" t="str">
        <f t="shared" si="11"/>
        <v>P5</v>
      </c>
      <c r="M146" s="474" t="str">
        <f t="shared" si="11"/>
        <v>P6</v>
      </c>
      <c r="N146" s="474" t="str">
        <f t="shared" si="11"/>
        <v>P7</v>
      </c>
      <c r="O146" s="259" t="str">
        <f t="shared" si="11"/>
        <v>P8</v>
      </c>
      <c r="P146" s="536" t="str">
        <f t="shared" si="11"/>
        <v>P9</v>
      </c>
      <c r="Q146" s="536" t="str">
        <f t="shared" si="11"/>
        <v>P10</v>
      </c>
      <c r="R146" s="259" t="str">
        <f t="shared" si="11"/>
        <v>P11</v>
      </c>
      <c r="S146" s="536" t="str">
        <f t="shared" si="11"/>
        <v>P12</v>
      </c>
      <c r="T146" s="35"/>
      <c r="U146" s="35"/>
    </row>
    <row r="147" spans="1:21" ht="15">
      <c r="A147" s="3"/>
      <c r="B147" s="674" t="str">
        <f>IF(ISBLANK(B122),"",(B122))</f>
        <v>% of adults and children currently receiving antiretroviral among adults and children living with HIV</v>
      </c>
      <c r="C147" s="675"/>
      <c r="D147" s="676"/>
      <c r="E147" s="667">
        <f>IF(ISBLANK(E122),"",(E122))</f>
      </c>
      <c r="F147" s="668" t="str">
        <f>IF(ISBLANK(F122),"",(F122))</f>
        <v>Current Grant</v>
      </c>
      <c r="G147" s="489" t="s">
        <v>93</v>
      </c>
      <c r="H147" s="490">
        <f aca="true" t="shared" si="12" ref="H147:S147">H122</f>
        <v>97889</v>
      </c>
      <c r="I147" s="490">
        <f t="shared" si="12"/>
        <v>0</v>
      </c>
      <c r="J147" s="490">
        <f t="shared" si="12"/>
        <v>0</v>
      </c>
      <c r="K147" s="490">
        <f t="shared" si="12"/>
        <v>0</v>
      </c>
      <c r="L147" s="490">
        <f t="shared" si="12"/>
        <v>0</v>
      </c>
      <c r="M147" s="490">
        <f t="shared" si="12"/>
        <v>0</v>
      </c>
      <c r="N147" s="490">
        <f t="shared" si="12"/>
        <v>0</v>
      </c>
      <c r="O147" s="265">
        <f t="shared" si="12"/>
        <v>0</v>
      </c>
      <c r="P147" s="265">
        <f t="shared" si="12"/>
        <v>0</v>
      </c>
      <c r="Q147" s="265">
        <f t="shared" si="12"/>
        <v>0</v>
      </c>
      <c r="R147" s="265">
        <f t="shared" si="12"/>
        <v>0</v>
      </c>
      <c r="S147" s="265">
        <f t="shared" si="12"/>
        <v>97889</v>
      </c>
      <c r="T147" s="35"/>
      <c r="U147" s="35"/>
    </row>
    <row r="148" spans="1:21" ht="15.75" thickBot="1">
      <c r="A148" s="3"/>
      <c r="B148" s="677"/>
      <c r="C148" s="678"/>
      <c r="D148" s="679"/>
      <c r="E148" s="667"/>
      <c r="F148" s="668"/>
      <c r="G148" s="491" t="s">
        <v>94</v>
      </c>
      <c r="H148" s="490">
        <f aca="true" t="shared" si="13" ref="H148:S148">H123</f>
        <v>95989</v>
      </c>
      <c r="I148" s="490">
        <f t="shared" si="13"/>
        <v>0</v>
      </c>
      <c r="J148" s="490">
        <f t="shared" si="13"/>
        <v>0</v>
      </c>
      <c r="K148" s="490">
        <f t="shared" si="13"/>
        <v>0</v>
      </c>
      <c r="L148" s="490">
        <f t="shared" si="13"/>
        <v>0</v>
      </c>
      <c r="M148" s="490">
        <f t="shared" si="13"/>
        <v>0</v>
      </c>
      <c r="N148" s="490">
        <f t="shared" si="13"/>
        <v>0</v>
      </c>
      <c r="O148" s="265">
        <f t="shared" si="13"/>
        <v>0</v>
      </c>
      <c r="P148" s="265">
        <f t="shared" si="13"/>
        <v>0</v>
      </c>
      <c r="Q148" s="265">
        <f t="shared" si="13"/>
        <v>0</v>
      </c>
      <c r="R148" s="265">
        <f t="shared" si="13"/>
        <v>0</v>
      </c>
      <c r="S148" s="265">
        <f t="shared" si="13"/>
        <v>95989</v>
      </c>
      <c r="T148" s="35"/>
      <c r="U148" s="35"/>
    </row>
    <row r="149" spans="1:21" ht="15" customHeight="1">
      <c r="A149" s="3"/>
      <c r="B149" s="699">
        <f>IF(ISBLANK(B124),"",(B124))</f>
      </c>
      <c r="C149" s="700"/>
      <c r="D149" s="701"/>
      <c r="E149" s="667">
        <f>IF(ISBLANK(E124),"",(E124))</f>
      </c>
      <c r="F149" s="668" t="str">
        <f>IF(ISBLANK(F124),"",(F124))</f>
        <v>Current Grant</v>
      </c>
      <c r="G149" s="492" t="s">
        <v>93</v>
      </c>
      <c r="H149" s="490">
        <f aca="true" t="shared" si="14" ref="H149:S149">H124</f>
        <v>0</v>
      </c>
      <c r="I149" s="490">
        <f t="shared" si="14"/>
        <v>0</v>
      </c>
      <c r="J149" s="490">
        <f t="shared" si="14"/>
        <v>0</v>
      </c>
      <c r="K149" s="490">
        <f t="shared" si="14"/>
        <v>0</v>
      </c>
      <c r="L149" s="490">
        <f t="shared" si="14"/>
        <v>0</v>
      </c>
      <c r="M149" s="490">
        <f t="shared" si="14"/>
        <v>0</v>
      </c>
      <c r="N149" s="490">
        <f t="shared" si="14"/>
        <v>0</v>
      </c>
      <c r="O149" s="265">
        <f t="shared" si="14"/>
        <v>0</v>
      </c>
      <c r="P149" s="265">
        <f t="shared" si="14"/>
        <v>0</v>
      </c>
      <c r="Q149" s="265">
        <f t="shared" si="14"/>
        <v>0</v>
      </c>
      <c r="R149" s="265">
        <f t="shared" si="14"/>
        <v>0</v>
      </c>
      <c r="S149" s="265">
        <f t="shared" si="14"/>
        <v>0</v>
      </c>
      <c r="T149" s="35"/>
      <c r="U149" s="35"/>
    </row>
    <row r="150" spans="1:21" ht="15.75" thickBot="1">
      <c r="A150" s="3"/>
      <c r="B150" s="702"/>
      <c r="C150" s="703"/>
      <c r="D150" s="704"/>
      <c r="E150" s="667"/>
      <c r="F150" s="668"/>
      <c r="G150" s="492" t="s">
        <v>94</v>
      </c>
      <c r="H150" s="490">
        <f aca="true" t="shared" si="15" ref="H150:S150">H125</f>
        <v>0</v>
      </c>
      <c r="I150" s="490">
        <f t="shared" si="15"/>
        <v>0</v>
      </c>
      <c r="J150" s="490">
        <f t="shared" si="15"/>
        <v>0</v>
      </c>
      <c r="K150" s="490">
        <f t="shared" si="15"/>
        <v>0</v>
      </c>
      <c r="L150" s="490">
        <f t="shared" si="15"/>
        <v>0</v>
      </c>
      <c r="M150" s="490">
        <f t="shared" si="15"/>
        <v>0</v>
      </c>
      <c r="N150" s="523">
        <f t="shared" si="15"/>
        <v>0</v>
      </c>
      <c r="O150" s="265">
        <f t="shared" si="15"/>
        <v>0</v>
      </c>
      <c r="P150" s="265">
        <f t="shared" si="15"/>
        <v>0</v>
      </c>
      <c r="Q150" s="265">
        <f t="shared" si="15"/>
        <v>0</v>
      </c>
      <c r="R150" s="265">
        <f t="shared" si="15"/>
        <v>0</v>
      </c>
      <c r="S150" s="265">
        <f t="shared" si="15"/>
        <v>0</v>
      </c>
      <c r="T150" s="35"/>
      <c r="U150" s="35"/>
    </row>
    <row r="151" spans="1:21" ht="15">
      <c r="A151" s="3"/>
      <c r="B151" s="674" t="str">
        <f>IF(ISBLANK(B126),"",(B126))</f>
        <v> % of pregnant women who know their HIV status</v>
      </c>
      <c r="C151" s="675"/>
      <c r="D151" s="676"/>
      <c r="E151" s="667">
        <f>IF(ISBLANK(E126),"",(E126))</f>
      </c>
      <c r="F151" s="668" t="str">
        <f>IF(ISBLANK(F126),"",(F126))</f>
        <v>Current Grant</v>
      </c>
      <c r="G151" s="491" t="s">
        <v>93</v>
      </c>
      <c r="H151" s="490">
        <f aca="true" t="shared" si="16" ref="H151:L152">H126</f>
        <v>767363</v>
      </c>
      <c r="I151" s="490">
        <f t="shared" si="16"/>
        <v>0</v>
      </c>
      <c r="J151" s="490">
        <f t="shared" si="16"/>
        <v>0</v>
      </c>
      <c r="K151" s="490">
        <f t="shared" si="16"/>
        <v>0</v>
      </c>
      <c r="L151" s="490">
        <f t="shared" si="16"/>
        <v>0</v>
      </c>
      <c r="M151" s="490">
        <f>M126</f>
        <v>0</v>
      </c>
      <c r="N151" s="490">
        <f aca="true" t="shared" si="17" ref="N151:S151">N126</f>
        <v>0</v>
      </c>
      <c r="O151" s="265">
        <f t="shared" si="17"/>
        <v>0</v>
      </c>
      <c r="P151" s="265">
        <f>P126</f>
        <v>0</v>
      </c>
      <c r="Q151" s="265">
        <f t="shared" si="17"/>
        <v>0</v>
      </c>
      <c r="R151" s="265">
        <f t="shared" si="17"/>
        <v>0</v>
      </c>
      <c r="S151" s="265">
        <f t="shared" si="17"/>
        <v>767363</v>
      </c>
      <c r="T151" s="35"/>
      <c r="U151" s="35"/>
    </row>
    <row r="152" spans="1:21" ht="15.75" thickBot="1">
      <c r="A152" s="3"/>
      <c r="B152" s="677"/>
      <c r="C152" s="678"/>
      <c r="D152" s="679"/>
      <c r="E152" s="667"/>
      <c r="F152" s="668"/>
      <c r="G152" s="493" t="s">
        <v>94</v>
      </c>
      <c r="H152" s="494">
        <f t="shared" si="16"/>
        <v>546636</v>
      </c>
      <c r="I152" s="494">
        <f t="shared" si="16"/>
        <v>0</v>
      </c>
      <c r="J152" s="494">
        <f t="shared" si="16"/>
        <v>0</v>
      </c>
      <c r="K152" s="490">
        <f t="shared" si="16"/>
        <v>0</v>
      </c>
      <c r="L152" s="490">
        <f t="shared" si="16"/>
        <v>0</v>
      </c>
      <c r="M152" s="490">
        <f>M127</f>
        <v>0</v>
      </c>
      <c r="N152" s="490">
        <f aca="true" t="shared" si="18" ref="N152:S152">N127</f>
        <v>0</v>
      </c>
      <c r="O152" s="265">
        <f t="shared" si="18"/>
        <v>0</v>
      </c>
      <c r="P152" s="265">
        <f>P127</f>
        <v>0</v>
      </c>
      <c r="Q152" s="265">
        <f t="shared" si="18"/>
        <v>0</v>
      </c>
      <c r="R152" s="265">
        <f t="shared" si="18"/>
        <v>0</v>
      </c>
      <c r="S152" s="265">
        <f t="shared" si="18"/>
        <v>546636</v>
      </c>
      <c r="T152" s="35"/>
      <c r="U152" s="35"/>
    </row>
    <row r="153" spans="1:17" ht="15">
      <c r="A153" s="3"/>
      <c r="B153" s="3"/>
      <c r="C153" s="331"/>
      <c r="D153" s="331"/>
      <c r="E153" s="331"/>
      <c r="F153" s="331"/>
      <c r="G153" s="331"/>
      <c r="H153" s="331"/>
      <c r="I153" s="331"/>
      <c r="J153" s="331"/>
      <c r="K153" s="331"/>
      <c r="L153" s="331"/>
      <c r="M153" s="331"/>
      <c r="N153" s="370"/>
      <c r="O153"/>
      <c r="P153" s="537"/>
      <c r="Q153" s="537"/>
    </row>
    <row r="154" spans="14:17" ht="15">
      <c r="N154" s="370"/>
      <c r="O154"/>
      <c r="P154" s="537"/>
      <c r="Q154" s="537"/>
    </row>
    <row r="155" spans="14:17" ht="15">
      <c r="N155" s="370"/>
      <c r="O155"/>
      <c r="P155" s="537"/>
      <c r="Q155" s="537"/>
    </row>
    <row r="156" spans="14:17" ht="15">
      <c r="N156" s="370"/>
      <c r="O156"/>
      <c r="P156" s="537"/>
      <c r="Q156" s="537"/>
    </row>
  </sheetData>
  <sheetProtection/>
  <mergeCells count="71">
    <mergeCell ref="H16:I16"/>
    <mergeCell ref="D24:E24"/>
    <mergeCell ref="A122:A127"/>
    <mergeCell ref="B29:N29"/>
    <mergeCell ref="B122:D123"/>
    <mergeCell ref="B64:D64"/>
    <mergeCell ref="F126:F127"/>
    <mergeCell ref="B76:C76"/>
    <mergeCell ref="E126:E127"/>
    <mergeCell ref="B77:C77"/>
    <mergeCell ref="E10:F10"/>
    <mergeCell ref="I8:J8"/>
    <mergeCell ref="C10:D10"/>
    <mergeCell ref="B14:J14"/>
    <mergeCell ref="E12:F12"/>
    <mergeCell ref="C8:D8"/>
    <mergeCell ref="C12:D12"/>
    <mergeCell ref="B18:C18"/>
    <mergeCell ref="F138:F139"/>
    <mergeCell ref="B21:J21"/>
    <mergeCell ref="F136:F137"/>
    <mergeCell ref="F130:F131"/>
    <mergeCell ref="B75:C75"/>
    <mergeCell ref="D18:F18"/>
    <mergeCell ref="B130:D131"/>
    <mergeCell ref="B126:D127"/>
    <mergeCell ref="B120:D120"/>
    <mergeCell ref="B2:J2"/>
    <mergeCell ref="C4:D4"/>
    <mergeCell ref="E4:F4"/>
    <mergeCell ref="G4:J4"/>
    <mergeCell ref="E136:E137"/>
    <mergeCell ref="I6:J6"/>
    <mergeCell ref="G12:J12"/>
    <mergeCell ref="G10:J10"/>
    <mergeCell ref="C6:D6"/>
    <mergeCell ref="E6:F6"/>
    <mergeCell ref="I24:J24"/>
    <mergeCell ref="B26:C26"/>
    <mergeCell ref="B112:B115"/>
    <mergeCell ref="B149:D150"/>
    <mergeCell ref="B132:D133"/>
    <mergeCell ref="B134:D135"/>
    <mergeCell ref="B136:D137"/>
    <mergeCell ref="B138:D139"/>
    <mergeCell ref="E128:E129"/>
    <mergeCell ref="B124:D125"/>
    <mergeCell ref="B147:D148"/>
    <mergeCell ref="E140:E141"/>
    <mergeCell ref="F151:F152"/>
    <mergeCell ref="E138:E139"/>
    <mergeCell ref="G24:H24"/>
    <mergeCell ref="F132:F133"/>
    <mergeCell ref="B128:D129"/>
    <mergeCell ref="B151:D152"/>
    <mergeCell ref="B140:D141"/>
    <mergeCell ref="E147:E148"/>
    <mergeCell ref="F147:F148"/>
    <mergeCell ref="E149:E150"/>
    <mergeCell ref="E151:E152"/>
    <mergeCell ref="E130:E131"/>
    <mergeCell ref="F149:F150"/>
    <mergeCell ref="F140:F141"/>
    <mergeCell ref="E132:E133"/>
    <mergeCell ref="E134:E135"/>
    <mergeCell ref="O31:O34"/>
    <mergeCell ref="F122:F123"/>
    <mergeCell ref="F124:F125"/>
    <mergeCell ref="F51:I51"/>
    <mergeCell ref="F134:F135"/>
    <mergeCell ref="F128:F129"/>
  </mergeCells>
  <conditionalFormatting sqref="B34 B32 C33:N33">
    <cfRule type="expression" priority="6" dxfId="38" stopIfTrue="1">
      <formula>+AND(B31&gt;=#REF!,B31&lt;=#REF!)</formula>
    </cfRule>
  </conditionalFormatting>
  <conditionalFormatting sqref="C34:N34">
    <cfRule type="expression" priority="7" dxfId="38" stopIfTrue="1">
      <formula>+AND(C32&gt;=#REF!,C32&lt;=#REF!)</formula>
    </cfRule>
  </conditionalFormatting>
  <conditionalFormatting sqref="C98:N98 C30:N30">
    <cfRule type="cellIs" priority="10" dxfId="52" operator="equal" stopIfTrue="1">
      <formula>$C$16</formula>
    </cfRule>
  </conditionalFormatting>
  <conditionalFormatting sqref="C12:D12">
    <cfRule type="cellIs" priority="12" dxfId="53" operator="equal" stopIfTrue="1">
      <formula>"C"</formula>
    </cfRule>
    <cfRule type="cellIs" priority="13" dxfId="54" operator="equal" stopIfTrue="1">
      <formula>"B2"</formula>
    </cfRule>
    <cfRule type="cellIs" priority="14" dxfId="55" operator="equal" stopIfTrue="1">
      <formula>"B1"</formula>
    </cfRule>
  </conditionalFormatting>
  <conditionalFormatting sqref="H121:N121 H146:S146 P121 R120:S121 H120:Q120">
    <cfRule type="cellIs" priority="21" dxfId="56" operator="equal" stopIfTrue="1">
      <formula>$C$16</formula>
    </cfRule>
  </conditionalFormatting>
  <conditionalFormatting sqref="F51:I51">
    <cfRule type="expression" priority="22" dxfId="6" stopIfTrue="1">
      <formula>LEFT($F$51,2)="OK"</formula>
    </cfRule>
  </conditionalFormatting>
  <conditionalFormatting sqref="C32:E32 G32:I32">
    <cfRule type="expression" priority="31" dxfId="38" stopIfTrue="1">
      <formula>+AND(C31&gt;=#REF!,C31&lt;=#REF!)</formula>
    </cfRule>
  </conditionalFormatting>
  <conditionalFormatting sqref="C32">
    <cfRule type="expression" priority="32" dxfId="38" stopIfTrue="1">
      <formula>+AND(C31&gt;=#REF!,C31&lt;=#REF!)</formula>
    </cfRule>
  </conditionalFormatting>
  <conditionalFormatting sqref="D32">
    <cfRule type="expression" priority="33" dxfId="38" stopIfTrue="1">
      <formula>+AND(D31&gt;=#REF!,D31&lt;=#REF!)</formula>
    </cfRule>
  </conditionalFormatting>
  <conditionalFormatting sqref="E31">
    <cfRule type="expression" priority="34" dxfId="38" stopIfTrue="1">
      <formula>+AND(E30&gt;=#REF!,E30&lt;=#REF!)</formula>
    </cfRule>
  </conditionalFormatting>
  <conditionalFormatting sqref="E32">
    <cfRule type="expression" priority="35" dxfId="38" stopIfTrue="1">
      <formula>+AND(E31&gt;=#REF!,E31&lt;=#REF!)</formula>
    </cfRule>
  </conditionalFormatting>
  <conditionalFormatting sqref="F32">
    <cfRule type="expression" priority="5" dxfId="38" stopIfTrue="1">
      <formula>+AND(F31&gt;=#REF!,F31&lt;=#REF!)</formula>
    </cfRule>
  </conditionalFormatting>
  <conditionalFormatting sqref="O121">
    <cfRule type="cellIs" priority="2" dxfId="56" operator="equal" stopIfTrue="1">
      <formula>$C$16</formula>
    </cfRule>
  </conditionalFormatting>
  <conditionalFormatting sqref="Q121">
    <cfRule type="cellIs" priority="1" dxfId="56" operator="equal" stopIfTrue="1">
      <formula>$C$16</formula>
    </cfRule>
  </conditionalFormatting>
  <dataValidations count="9">
    <dataValidation type="list" allowBlank="1" showInputMessage="1" showErrorMessage="1" sqref="B112 G6">
      <formula1>Component</formula1>
    </dataValidation>
    <dataValidation type="list" allowBlank="1" showInputMessage="1" showErrorMessage="1" sqref="C112:C115">
      <formula1>Medicaments</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s>
  <printOptions/>
  <pageMargins left="0.5118110236220472" right="0.5118110236220472" top="0.35433070866141736" bottom="0.35433070866141736" header="0.31496062992125984" footer="0.31496062992125984"/>
  <pageSetup horizontalDpi="600" verticalDpi="600" orientation="portrait" paperSize="9" scale="75" r:id="rId4"/>
  <headerFooter>
    <oddFooter>&amp;L&amp;F&amp;C&amp;A&amp;RV1.0          &amp;D</oddFooter>
  </headerFooter>
  <rowBreaks count="3" manualBreakCount="3">
    <brk id="70" max="19" man="1"/>
    <brk id="95" max="19" man="1"/>
    <brk id="106" max="255" man="1"/>
  </rowBreaks>
  <colBreaks count="1" manualBreakCount="1">
    <brk id="6" min="24" max="151" man="1"/>
  </colBreaks>
  <ignoredErrors>
    <ignoredError sqref="H146:S146 E147"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1">
      <selection activeCell="B9" sqref="B9"/>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06"/>
      <c r="H1" s="2"/>
      <c r="I1" s="2"/>
      <c r="J1" s="2"/>
    </row>
    <row r="2" ht="25.5" customHeight="1"/>
    <row r="3" spans="2:20" ht="36">
      <c r="B3" s="761" t="str">
        <f>+"Dashboard: "&amp;" "&amp;+IF('Data Entry'!C4="Please Select","",'Data Entry'!C4&amp;" - ")&amp;+IF('Data Entry'!G6="Please Select","",'Data Entry'!G6)&amp;"  (MoH)"</f>
        <v>Dashboard:  Ghana - HIV / AIDS  (MoH)</v>
      </c>
      <c r="C3" s="761"/>
      <c r="D3" s="761"/>
      <c r="E3" s="761"/>
      <c r="F3" s="761"/>
      <c r="G3" s="761"/>
      <c r="H3" s="761"/>
      <c r="I3" s="761"/>
      <c r="J3" s="761"/>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04" t="s">
        <v>33</v>
      </c>
      <c r="B6" s="762" t="str">
        <f>+IF('Data Entry'!C4="Please Select","",'Data Entry'!C4)</f>
        <v>Ghana</v>
      </c>
      <c r="C6" s="762"/>
      <c r="D6" s="765" t="s">
        <v>19</v>
      </c>
      <c r="E6" s="765"/>
      <c r="F6" s="766" t="str">
        <f>+'Data Entry'!G4</f>
        <v>Accelerating Access to Prevention, Treatment, Care &amp; Support for HIV/AIDS</v>
      </c>
      <c r="G6" s="766"/>
      <c r="H6" s="766"/>
      <c r="I6" s="766"/>
      <c r="J6" s="766"/>
      <c r="K6" s="45"/>
      <c r="L6" s="77"/>
      <c r="M6" s="45"/>
      <c r="N6" s="45"/>
      <c r="O6" s="45"/>
      <c r="P6" s="46"/>
      <c r="Q6" s="17"/>
      <c r="R6" s="17"/>
      <c r="S6" s="17"/>
      <c r="T6" s="17"/>
      <c r="U6" s="17"/>
    </row>
    <row r="7" spans="2:21" ht="8.25" customHeight="1">
      <c r="B7" s="6"/>
      <c r="C7" s="7"/>
      <c r="D7" s="7"/>
      <c r="E7" s="8"/>
      <c r="F7" s="8"/>
      <c r="G7" s="9"/>
      <c r="H7" s="9"/>
      <c r="K7" s="45"/>
      <c r="L7" s="45"/>
      <c r="M7" s="45"/>
      <c r="N7" s="45"/>
      <c r="O7" s="45"/>
      <c r="P7" s="46"/>
      <c r="Q7" s="17"/>
      <c r="R7" s="17"/>
      <c r="S7" s="17"/>
      <c r="T7" s="17"/>
      <c r="U7" s="17"/>
    </row>
    <row r="8" spans="3:21" ht="3.75" customHeight="1">
      <c r="C8" s="10"/>
      <c r="D8" s="10"/>
      <c r="E8" s="10"/>
      <c r="F8" s="10"/>
      <c r="G8" s="10"/>
      <c r="H8" s="10"/>
      <c r="I8" s="10"/>
      <c r="J8" s="10"/>
      <c r="K8" s="45"/>
      <c r="L8" s="45"/>
      <c r="M8" s="45"/>
      <c r="N8" s="45"/>
      <c r="O8" s="47"/>
      <c r="P8" s="46"/>
      <c r="Q8" s="47"/>
      <c r="R8" s="48"/>
      <c r="S8" s="17"/>
      <c r="T8" s="17"/>
      <c r="U8" s="17"/>
    </row>
    <row r="9" spans="1:24" ht="25.5" customHeight="1">
      <c r="A9" s="257" t="s">
        <v>34</v>
      </c>
      <c r="B9" s="320" t="str">
        <f>+IF('Data Entry'!G6="Please Select","",'Data Entry'!G6)</f>
        <v>HIV / AIDS</v>
      </c>
      <c r="C9" s="257" t="s">
        <v>332</v>
      </c>
      <c r="D9" s="245" t="str">
        <f>+'Data Entry'!C6</f>
        <v>GHN-809-G11-H</v>
      </c>
      <c r="E9" s="764" t="s">
        <v>20</v>
      </c>
      <c r="F9" s="764"/>
      <c r="G9" s="246">
        <f>+IF(ISBLANK('Data Entry'!C10),"",'Data Entry'!C10)</f>
        <v>42186</v>
      </c>
      <c r="H9" s="257" t="str">
        <f>'Data Entry'!H6</f>
        <v>Ph1 Funding:</v>
      </c>
      <c r="I9" s="763">
        <f>+IF(ISBLANK('Data Entry'!I6),"",'Data Entry'!I6)</f>
        <v>27994442</v>
      </c>
      <c r="J9" s="763"/>
      <c r="K9" s="45"/>
      <c r="L9" s="45"/>
      <c r="M9" s="45"/>
      <c r="N9" s="45"/>
      <c r="O9" s="47"/>
      <c r="P9" s="46"/>
      <c r="Q9" s="47"/>
      <c r="R9" s="48"/>
      <c r="S9" s="17"/>
      <c r="T9" s="11"/>
      <c r="U9" s="11"/>
      <c r="V9" s="10"/>
      <c r="W9" s="10"/>
      <c r="X9" s="10"/>
    </row>
    <row r="10" spans="1:21" ht="25.5" customHeight="1">
      <c r="A10" s="257" t="s">
        <v>327</v>
      </c>
      <c r="B10" s="321" t="str">
        <f>+IF('Data Entry'!G8="Please Select","",'Data Entry'!G8)</f>
        <v>NFM</v>
      </c>
      <c r="C10" s="257" t="s">
        <v>326</v>
      </c>
      <c r="D10" s="318">
        <f>+IF('Data Entry'!I8="Please Select","",'Data Entry'!I8)</f>
        <v>0</v>
      </c>
      <c r="E10" s="757" t="s">
        <v>275</v>
      </c>
      <c r="F10" s="757"/>
      <c r="G10" s="756" t="str">
        <f>+'Data Entry'!C8</f>
        <v>MOH</v>
      </c>
      <c r="H10" s="756"/>
      <c r="I10" s="756"/>
      <c r="J10" s="756"/>
      <c r="K10" s="49"/>
      <c r="L10" s="49"/>
      <c r="M10" s="45"/>
      <c r="N10" s="49"/>
      <c r="O10" s="47"/>
      <c r="P10" s="46"/>
      <c r="Q10" s="11"/>
      <c r="R10" s="48"/>
      <c r="S10" s="17"/>
      <c r="T10" s="11"/>
      <c r="U10" s="11"/>
    </row>
    <row r="11" spans="1:21" ht="25.5" customHeight="1">
      <c r="A11" s="257" t="s">
        <v>28</v>
      </c>
      <c r="B11" s="322" t="str">
        <f>+'Data Entry'!C16</f>
        <v>P1</v>
      </c>
      <c r="C11" s="282" t="s">
        <v>273</v>
      </c>
      <c r="D11" s="319">
        <f>+IF(ISBLANK('Data Entry'!E16),"",'Data Entry'!E16)</f>
        <v>42186</v>
      </c>
      <c r="E11" s="764" t="s">
        <v>29</v>
      </c>
      <c r="F11" s="764"/>
      <c r="G11" s="246">
        <f>+IF(ISBLANK('Data Entry'!G16),"",'Data Entry'!G16)</f>
        <v>42277</v>
      </c>
      <c r="H11" s="257" t="s">
        <v>36</v>
      </c>
      <c r="I11" s="758">
        <f>+IF('Data Entry'!C12="Please Select","",'Data Entry'!C12)</f>
        <v>0</v>
      </c>
      <c r="J11" s="758"/>
      <c r="K11" s="205"/>
      <c r="L11" s="49"/>
      <c r="M11" s="45"/>
      <c r="N11" s="49"/>
      <c r="O11" s="49"/>
      <c r="P11" s="46"/>
      <c r="Q11" s="11"/>
      <c r="R11" s="48"/>
      <c r="S11" s="17"/>
      <c r="T11" s="12"/>
      <c r="U11" s="11"/>
    </row>
    <row r="12" spans="1:24" ht="25.5" customHeight="1">
      <c r="A12" s="257" t="s">
        <v>38</v>
      </c>
      <c r="B12" s="756" t="str">
        <f>+IF('Data Entry'!G10="Please Select","",'Data Entry'!G10)</f>
        <v>PwC (PricewaterhouseCoopers)</v>
      </c>
      <c r="C12" s="756"/>
      <c r="D12" s="756"/>
      <c r="E12" s="757" t="s">
        <v>295</v>
      </c>
      <c r="F12" s="757"/>
      <c r="G12" s="756" t="str">
        <f>+'Data Entry'!G12</f>
        <v>Mark Saalfeld</v>
      </c>
      <c r="H12" s="756"/>
      <c r="I12" s="756"/>
      <c r="J12" s="756"/>
      <c r="K12" s="49"/>
      <c r="L12" s="49"/>
      <c r="M12" s="45"/>
      <c r="N12" s="49"/>
      <c r="O12" s="17"/>
      <c r="P12" s="46"/>
      <c r="Q12" s="11"/>
      <c r="R12" s="48"/>
      <c r="S12" s="17"/>
      <c r="T12" s="11"/>
      <c r="U12" s="50"/>
      <c r="V12" s="11"/>
      <c r="W12" s="12"/>
      <c r="X12" s="11"/>
    </row>
    <row r="13" spans="1:21" ht="25.5" customHeight="1">
      <c r="A13" s="257" t="s">
        <v>39</v>
      </c>
      <c r="B13" s="756" t="str">
        <f>+'Data Entry'!D18</f>
        <v>NACP TEAM</v>
      </c>
      <c r="C13" s="756"/>
      <c r="D13" s="756"/>
      <c r="E13" s="757" t="s">
        <v>37</v>
      </c>
      <c r="F13" s="757"/>
      <c r="G13" s="759">
        <f>+IF(ISBLANK('Data Entry'!J16),"",'Data Entry'!J16)</f>
        <v>42317</v>
      </c>
      <c r="H13" s="760"/>
      <c r="I13" s="760"/>
      <c r="J13" s="760"/>
      <c r="K13" s="17"/>
      <c r="L13" s="18"/>
      <c r="M13" s="18"/>
      <c r="N13" s="18"/>
      <c r="O13" s="17"/>
      <c r="P13" s="18"/>
      <c r="Q13" s="18"/>
      <c r="R13" s="48"/>
      <c r="S13" s="17"/>
      <c r="T13" s="18"/>
      <c r="U13" s="51"/>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197"/>
      <c r="D16" s="16"/>
      <c r="E16" s="258"/>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conditionalFormatting sqref="I11:J11">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PageLayoutView="0" workbookViewId="0" topLeftCell="A13">
      <selection activeCell="C23" sqref="C23:F23"/>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717" t="str">
        <f>'Grant Detail'!B3:J3</f>
        <v>Dashboard:  Ghana - HIV / AIDS  (MoH)</v>
      </c>
      <c r="C2" s="717"/>
      <c r="D2" s="717"/>
      <c r="E2" s="717"/>
      <c r="F2" s="717"/>
      <c r="G2" s="717"/>
      <c r="H2" s="717"/>
      <c r="I2" s="717"/>
      <c r="J2" s="717"/>
      <c r="K2" s="717"/>
      <c r="L2" s="1"/>
      <c r="M2" s="1"/>
      <c r="N2" s="1"/>
      <c r="O2" s="1"/>
    </row>
    <row r="3" spans="2:12" ht="15">
      <c r="B3" s="101" t="str">
        <f>+IF('Data Entry'!G8="Please Select","",'Data Entry'!G8)</f>
        <v>NFM</v>
      </c>
      <c r="C3" s="775">
        <f>+IF('Data Entry'!I8="Please Select","",'Data Entry'!I8)</f>
        <v>0</v>
      </c>
      <c r="D3" s="775"/>
      <c r="E3" s="774"/>
      <c r="F3" s="774"/>
      <c r="G3" s="774"/>
      <c r="H3" s="774"/>
      <c r="I3" s="772" t="str">
        <f>+'Data Entry'!B16</f>
        <v>Report Period:</v>
      </c>
      <c r="J3" s="772"/>
      <c r="K3" s="166" t="str">
        <f>+'Data Entry'!C16</f>
        <v>P1</v>
      </c>
      <c r="L3" s="78"/>
    </row>
    <row r="4" spans="2:11" ht="15">
      <c r="B4" s="101" t="str">
        <f>+'Data Entry'!B12</f>
        <v>Latest Rating:</v>
      </c>
      <c r="C4" s="776">
        <f>+IF('Data Entry'!C12="Please Select","",'Data Entry'!C12)</f>
        <v>0</v>
      </c>
      <c r="D4" s="776"/>
      <c r="E4" s="774" t="str">
        <f>+'Data Entry'!C8</f>
        <v>MOH</v>
      </c>
      <c r="F4" s="774"/>
      <c r="G4" s="774"/>
      <c r="H4" s="774"/>
      <c r="I4" s="772" t="str">
        <f>+'Data Entry'!D16</f>
        <v>From:</v>
      </c>
      <c r="J4" s="773"/>
      <c r="K4" s="168">
        <f>+IF(ISBLANK('Data Entry'!E16),"",'Data Entry'!E16)</f>
        <v>42186</v>
      </c>
    </row>
    <row r="5" spans="2:11" ht="18.75" customHeight="1">
      <c r="B5" s="101"/>
      <c r="C5" s="101"/>
      <c r="D5" s="771" t="str">
        <f>+'Data Entry'!G4</f>
        <v>Accelerating Access to Prevention, Treatment, Care &amp; Support for HIV/AIDS</v>
      </c>
      <c r="E5" s="771"/>
      <c r="F5" s="771"/>
      <c r="G5" s="771"/>
      <c r="H5" s="771"/>
      <c r="I5" s="771"/>
      <c r="J5" s="101" t="str">
        <f>+'Data Entry'!F16</f>
        <v>To:</v>
      </c>
      <c r="K5" s="168">
        <f>+IF(ISBLANK('Data Entry'!G16),"",'Data Entry'!G16)</f>
        <v>42277</v>
      </c>
    </row>
    <row r="6" spans="2:11" ht="18.75">
      <c r="B6" s="105"/>
      <c r="C6" s="101"/>
      <c r="D6" s="102"/>
      <c r="E6" s="777" t="s">
        <v>70</v>
      </c>
      <c r="F6" s="777"/>
      <c r="G6" s="777"/>
      <c r="H6" s="777"/>
      <c r="I6" s="3"/>
      <c r="J6" s="3"/>
      <c r="K6" s="3"/>
    </row>
    <row r="7" spans="2:11" ht="10.5" customHeight="1">
      <c r="B7" s="106"/>
      <c r="C7" s="107"/>
      <c r="D7" s="108"/>
      <c r="E7" s="109"/>
      <c r="F7" s="109"/>
      <c r="G7" s="110"/>
      <c r="H7" s="110"/>
      <c r="I7" s="104"/>
      <c r="J7" s="104"/>
      <c r="K7" s="103"/>
    </row>
    <row r="8" spans="2:11" ht="15">
      <c r="B8" s="171" t="str">
        <f>+'Data Entry'!B27&amp;" - ("&amp;'Data Entry'!D26&amp;")            "&amp;+I3&amp;" "&amp;+K3</f>
        <v>F1: Budget and disbursements by Global Fund - ($)            Report Period: P1</v>
      </c>
      <c r="C8" s="111"/>
      <c r="D8" s="2"/>
      <c r="E8" s="2"/>
      <c r="F8" s="2"/>
      <c r="H8" s="171" t="str">
        <f>+'Data Entry'!B53&amp;" - ("&amp;'Data Entry'!D26&amp;")               "&amp;+I3&amp;" "&amp;+K3</f>
        <v>F3: Disbursements and expenditures - ($)               Report Period: P1</v>
      </c>
      <c r="I8" s="3"/>
      <c r="J8" s="3"/>
      <c r="K8" s="3"/>
    </row>
    <row r="9" spans="2:11" ht="15">
      <c r="B9" s="249" t="s">
        <v>16</v>
      </c>
      <c r="C9" s="783"/>
      <c r="D9" s="784"/>
      <c r="E9" s="784"/>
      <c r="F9" s="785"/>
      <c r="H9" s="250" t="s">
        <v>16</v>
      </c>
      <c r="I9" s="786"/>
      <c r="J9" s="784"/>
      <c r="K9" s="785"/>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172" t="str">
        <f>+'Data Entry'!B36&amp;" - ("&amp;'Data Entry'!D26&amp;")  "&amp;+I3&amp;" "&amp;+K3</f>
        <v>F2: Budget and actual expenditures by Grant Objective - ($)  Report Period: P1</v>
      </c>
      <c r="C22" s="2"/>
      <c r="D22" s="2"/>
      <c r="E22" s="2"/>
      <c r="F22" s="2"/>
      <c r="H22" s="172" t="str">
        <f>+'Data Entry'!B62&amp;"      "&amp;+I3&amp;" "&amp;+K3</f>
        <v>F4: Latest PR reporting and disbursement cycle      Report Period: P1</v>
      </c>
      <c r="J22" s="3"/>
      <c r="K22" s="3"/>
    </row>
    <row r="23" spans="2:11" ht="15">
      <c r="B23" s="250" t="s">
        <v>17</v>
      </c>
      <c r="C23" s="786"/>
      <c r="D23" s="784"/>
      <c r="E23" s="784"/>
      <c r="F23" s="785"/>
      <c r="G23" s="254"/>
      <c r="H23" s="250" t="s">
        <v>16</v>
      </c>
      <c r="I23" s="786"/>
      <c r="J23" s="787"/>
      <c r="K23" s="788"/>
    </row>
    <row r="24" spans="2:11" ht="15.75" thickBot="1">
      <c r="B24" s="177"/>
      <c r="C24" s="177"/>
      <c r="D24" s="177"/>
      <c r="E24" s="177"/>
      <c r="F24" s="177"/>
      <c r="G24" s="177"/>
      <c r="H24" s="178"/>
      <c r="I24" s="178"/>
      <c r="J24" s="177"/>
      <c r="K24" s="177"/>
    </row>
    <row r="25" spans="2:11" ht="29.25" customHeight="1" thickBot="1">
      <c r="B25" s="3"/>
      <c r="C25" s="3"/>
      <c r="D25" s="3"/>
      <c r="E25" s="3"/>
      <c r="F25" s="3"/>
      <c r="G25" s="231"/>
      <c r="H25" s="778" t="s">
        <v>314</v>
      </c>
      <c r="I25" s="779"/>
      <c r="J25" s="779"/>
      <c r="K25" s="780"/>
    </row>
    <row r="26" spans="2:11" ht="24">
      <c r="B26" s="3"/>
      <c r="C26" s="3"/>
      <c r="D26" s="3"/>
      <c r="E26" s="3"/>
      <c r="F26" s="3"/>
      <c r="G26" s="210"/>
      <c r="H26" s="781"/>
      <c r="I26" s="782"/>
      <c r="J26" s="217" t="s">
        <v>68</v>
      </c>
      <c r="K26" s="218" t="s">
        <v>69</v>
      </c>
    </row>
    <row r="27" spans="2:11" ht="23.25" customHeight="1">
      <c r="B27" s="3"/>
      <c r="C27" s="3"/>
      <c r="D27" s="3"/>
      <c r="E27" s="3"/>
      <c r="F27" s="3"/>
      <c r="G27" s="232"/>
      <c r="H27" s="767" t="str">
        <f>'Data Entry'!B66</f>
        <v>Days taken to submit final PU/DR to LFA</v>
      </c>
      <c r="I27" s="768"/>
      <c r="J27" s="219">
        <f>+'Data Entry'!C66</f>
        <v>45</v>
      </c>
      <c r="K27" s="216">
        <f>+'Data Entry'!D66</f>
        <v>45</v>
      </c>
    </row>
    <row r="28" spans="2:11" ht="21" customHeight="1">
      <c r="B28" s="3"/>
      <c r="C28" s="3"/>
      <c r="D28" s="3"/>
      <c r="E28" s="3"/>
      <c r="F28" s="3"/>
      <c r="G28" s="232"/>
      <c r="H28" s="767" t="str">
        <f>'Data Entry'!B67</f>
        <v>Days taken for disbursement to reach PR</v>
      </c>
      <c r="I28" s="768"/>
      <c r="J28" s="219">
        <f>+'Data Entry'!C67</f>
        <v>45</v>
      </c>
      <c r="K28" s="216">
        <f>+'Data Entry'!D67</f>
        <v>0</v>
      </c>
    </row>
    <row r="29" spans="2:11" ht="21" customHeight="1" thickBot="1">
      <c r="B29" s="3"/>
      <c r="C29" s="3"/>
      <c r="D29" s="3"/>
      <c r="E29" s="3"/>
      <c r="F29" s="3"/>
      <c r="G29" s="232"/>
      <c r="H29" s="769" t="str">
        <f>'Data Entry'!B68</f>
        <v>Days taken for disbursement to reach SRs </v>
      </c>
      <c r="I29" s="770"/>
      <c r="J29" s="220">
        <f>+'Data Entry'!C68</f>
        <v>0</v>
      </c>
      <c r="K29" s="221">
        <f>+'Data Entry'!D68</f>
        <v>0</v>
      </c>
    </row>
    <row r="30" spans="2:11" ht="15">
      <c r="B30" s="3"/>
      <c r="C30" s="3"/>
      <c r="D30" s="3"/>
      <c r="E30" s="3"/>
      <c r="F30" s="3"/>
      <c r="G30" s="3"/>
      <c r="H30" s="3"/>
      <c r="I30" s="3"/>
      <c r="J30" s="3"/>
      <c r="K30" s="3"/>
    </row>
    <row r="31" spans="2:11" ht="15">
      <c r="B31" s="3"/>
      <c r="C31" s="15"/>
      <c r="D31" s="198"/>
      <c r="E31" s="3"/>
      <c r="F31" s="3"/>
      <c r="G31" s="3"/>
      <c r="H31" s="3"/>
      <c r="I31" s="3"/>
      <c r="J31" s="3"/>
      <c r="K31" s="3"/>
    </row>
    <row r="32" spans="2:11" ht="15">
      <c r="B32" s="3"/>
      <c r="C32" s="15"/>
      <c r="D32" s="198"/>
      <c r="E32" s="3"/>
      <c r="F32" s="3"/>
      <c r="G32" s="3"/>
      <c r="H32" s="3"/>
      <c r="I32" s="3"/>
      <c r="J32" s="3"/>
      <c r="K32" s="3"/>
    </row>
    <row r="34" ht="15">
      <c r="E34" s="19"/>
    </row>
  </sheetData>
  <sheetProtection password="CFC9" sheet="1"/>
  <mergeCells count="18">
    <mergeCell ref="E6:H6"/>
    <mergeCell ref="H25:K25"/>
    <mergeCell ref="H26:I26"/>
    <mergeCell ref="H27:I27"/>
    <mergeCell ref="C9:F9"/>
    <mergeCell ref="I23:K23"/>
    <mergeCell ref="C23:F23"/>
    <mergeCell ref="I9:K9"/>
    <mergeCell ref="H28:I28"/>
    <mergeCell ref="H29:I29"/>
    <mergeCell ref="B2:K2"/>
    <mergeCell ref="D5:I5"/>
    <mergeCell ref="I4:J4"/>
    <mergeCell ref="I3:J3"/>
    <mergeCell ref="E3:H3"/>
    <mergeCell ref="C3:D3"/>
    <mergeCell ref="C4:D4"/>
    <mergeCell ref="E4:H4"/>
  </mergeCells>
  <conditionalFormatting sqref="K27:K29">
    <cfRule type="cellIs" priority="4" dxfId="58" operator="greaterThan" stopIfTrue="1">
      <formula>J27</formula>
    </cfRule>
    <cfRule type="cellIs" priority="5" dxfId="59" operator="between" stopIfTrue="1">
      <formula>J27</formula>
      <formula>1</formula>
    </cfRule>
    <cfRule type="cellIs" priority="6" dxfId="30" operator="equal" stopIfTrue="1">
      <formula>0</formula>
    </cfRule>
  </conditionalFormatting>
  <conditionalFormatting sqref="C4:D4">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12">
      <selection activeCell="E1" sqref="E1"/>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194"/>
      <c r="E1" s="195"/>
    </row>
    <row r="2" spans="2:16" ht="27.75" customHeight="1">
      <c r="B2" s="800" t="str">
        <f>'Grant Detail'!B3:J3</f>
        <v>Dashboard:  Ghana - HIV / AIDS  (MoH)</v>
      </c>
      <c r="C2" s="800"/>
      <c r="D2" s="800"/>
      <c r="E2" s="800"/>
      <c r="F2" s="800"/>
      <c r="G2" s="800"/>
      <c r="H2" s="800"/>
      <c r="I2" s="800"/>
      <c r="J2" s="800"/>
      <c r="K2" s="800"/>
      <c r="L2" s="800"/>
      <c r="M2" s="25"/>
      <c r="N2" s="25"/>
      <c r="O2" s="25"/>
      <c r="P2" s="25"/>
    </row>
    <row r="3" spans="2:12" ht="15">
      <c r="B3" s="23" t="str">
        <f>+IF('Data Entry'!G8="Please Select","",'Data Entry'!G8)</f>
        <v>NFM</v>
      </c>
      <c r="C3" s="789">
        <f>+IF('Data Entry'!I8="Please Select","",'Data Entry'!I8)</f>
        <v>0</v>
      </c>
      <c r="D3" s="789"/>
      <c r="E3" s="790"/>
      <c r="F3" s="790"/>
      <c r="G3" s="790"/>
      <c r="H3" s="790"/>
      <c r="I3" s="790"/>
      <c r="J3" s="794" t="str">
        <f>+'Data Entry'!B16</f>
        <v>Report Period:</v>
      </c>
      <c r="K3" s="794"/>
      <c r="L3" s="166" t="str">
        <f>+'Data Entry'!C16</f>
        <v>P1</v>
      </c>
    </row>
    <row r="4" spans="2:12" ht="15">
      <c r="B4" s="23" t="str">
        <f>+'Data Entry'!B12</f>
        <v>Latest Rating:</v>
      </c>
      <c r="C4" s="776">
        <f>+IF('Data Entry'!C12="Please Select","",'Data Entry'!C12)</f>
        <v>0</v>
      </c>
      <c r="D4" s="776"/>
      <c r="E4" s="790" t="str">
        <f>+'Data Entry'!C8</f>
        <v>MOH</v>
      </c>
      <c r="F4" s="790"/>
      <c r="G4" s="790"/>
      <c r="H4" s="790"/>
      <c r="I4" s="790"/>
      <c r="J4" s="794" t="str">
        <f>+'Data Entry'!D16</f>
        <v>From:</v>
      </c>
      <c r="K4" s="795"/>
      <c r="L4" s="168">
        <f>+IF(ISBLANK('Data Entry'!E16),"",'Data Entry'!E16)</f>
        <v>42186</v>
      </c>
    </row>
    <row r="5" spans="2:12" ht="18.75" customHeight="1">
      <c r="B5" s="23"/>
      <c r="C5" s="23"/>
      <c r="D5" s="790" t="str">
        <f>+'Data Entry'!G4</f>
        <v>Accelerating Access to Prevention, Treatment, Care &amp; Support for HIV/AIDS</v>
      </c>
      <c r="E5" s="790"/>
      <c r="F5" s="790"/>
      <c r="G5" s="790"/>
      <c r="H5" s="790"/>
      <c r="I5" s="790"/>
      <c r="J5" s="790"/>
      <c r="K5" s="23" t="str">
        <f>+'Data Entry'!F16</f>
        <v>To:</v>
      </c>
      <c r="L5" s="168">
        <f>+IF(ISBLANK('Data Entry'!G16),"",'Data Entry'!G16)</f>
        <v>42277</v>
      </c>
    </row>
    <row r="6" spans="2:9" ht="18.75">
      <c r="B6" s="22"/>
      <c r="C6" s="23"/>
      <c r="D6" s="24"/>
      <c r="E6" s="801" t="s">
        <v>77</v>
      </c>
      <c r="F6" s="801"/>
      <c r="G6" s="801"/>
      <c r="H6" s="801"/>
      <c r="I6" s="801"/>
    </row>
    <row r="7" spans="2:8" ht="15">
      <c r="B7" s="255" t="str">
        <f>+'Data Entry'!B73&amp;"                "&amp;+J3&amp;" "&amp;+L3</f>
        <v>M1: Status of Conditions Precedent (CPs) and Time Bound Actions (TBAs)                Report Period: P1</v>
      </c>
      <c r="C7" s="21"/>
      <c r="H7" s="255" t="str">
        <f>+'Data Entry'!B80&amp;"                                                                             "&amp;+J3&amp;"  "&amp;+L3</f>
        <v>M2: Status of key PR management positions                                                                             Report Period:  P1</v>
      </c>
    </row>
    <row r="8" spans="2:12" ht="15">
      <c r="B8" s="251" t="s">
        <v>16</v>
      </c>
      <c r="C8" s="786"/>
      <c r="D8" s="787"/>
      <c r="E8" s="787"/>
      <c r="F8" s="788"/>
      <c r="G8" s="256"/>
      <c r="H8" s="250" t="s">
        <v>16</v>
      </c>
      <c r="I8" s="786" t="s">
        <v>424</v>
      </c>
      <c r="J8" s="796"/>
      <c r="K8" s="796"/>
      <c r="L8" s="797"/>
    </row>
    <row r="9" spans="2:8" ht="15">
      <c r="B9" s="19"/>
      <c r="C9" s="19"/>
      <c r="D9" s="19"/>
      <c r="E9" s="19"/>
      <c r="F9" s="19"/>
      <c r="G9" s="19"/>
      <c r="H9" s="19"/>
    </row>
    <row r="10" spans="1:16" ht="15">
      <c r="A10" s="42"/>
      <c r="B10" s="19"/>
      <c r="C10" s="19"/>
      <c r="D10" s="802"/>
      <c r="E10" s="798"/>
      <c r="F10" s="798"/>
      <c r="G10" s="173"/>
      <c r="H10" s="19"/>
      <c r="N10" s="44"/>
      <c r="O10" s="44"/>
      <c r="P10" s="43"/>
    </row>
    <row r="11" spans="2:15" ht="15">
      <c r="B11" s="19"/>
      <c r="C11" s="27"/>
      <c r="D11" s="802"/>
      <c r="E11" s="27"/>
      <c r="F11" s="27"/>
      <c r="G11" s="27"/>
      <c r="H11" s="27"/>
      <c r="N11" s="19"/>
      <c r="O11" s="19"/>
    </row>
    <row r="12" spans="2:8" ht="15">
      <c r="B12" s="27"/>
      <c r="C12" s="74"/>
      <c r="D12" s="75"/>
      <c r="E12" s="75"/>
      <c r="F12" s="75"/>
      <c r="G12" s="75"/>
      <c r="H12" s="76"/>
    </row>
    <row r="13" spans="2:8" ht="15">
      <c r="B13" s="27"/>
      <c r="C13" s="74"/>
      <c r="D13" s="75"/>
      <c r="E13" s="75"/>
      <c r="F13" s="75"/>
      <c r="G13" s="75"/>
      <c r="H13" s="76"/>
    </row>
    <row r="15" spans="2:8" ht="27.75" customHeight="1">
      <c r="B15" s="255" t="str">
        <f>+'Data Entry'!B85&amp;"                                                                                                  "&amp;+J3&amp;" "&amp;+L3</f>
        <v>M3: Contractual arrangements (SRs)                                                                                                   Report Period: P1</v>
      </c>
      <c r="H15" s="255" t="str">
        <f>+'Data Entry'!B90&amp;"                  "&amp;+J3&amp;" "&amp;+L3</f>
        <v>M4: Number of complete reports received on time, this reporting period                  Report Period: P1</v>
      </c>
    </row>
    <row r="16" spans="2:12" ht="15">
      <c r="B16" s="251" t="s">
        <v>16</v>
      </c>
      <c r="C16" s="786"/>
      <c r="D16" s="796"/>
      <c r="E16" s="796"/>
      <c r="F16" s="797"/>
      <c r="G16" s="256"/>
      <c r="H16" s="250" t="s">
        <v>16</v>
      </c>
      <c r="I16" s="786"/>
      <c r="J16" s="787"/>
      <c r="K16" s="787"/>
      <c r="L16" s="788"/>
    </row>
    <row r="17" spans="2:8" ht="15">
      <c r="B17" s="28"/>
      <c r="H17" s="29"/>
    </row>
    <row r="18" ht="15">
      <c r="M18" s="78"/>
    </row>
    <row r="26" spans="2:8" ht="15">
      <c r="B26" s="255" t="str">
        <f>+'Data Entry'!B96</f>
        <v>M5: Budget and Procurement of health products, health equipment, medicines and pharmaceuticals</v>
      </c>
      <c r="H26" s="255" t="str">
        <f>+'Data Entry'!B109&amp;"                                                                "&amp;+J3&amp;"  "&amp;+L3</f>
        <v>M6: Difference between current and safety stock                                                                Report Period:  P1</v>
      </c>
    </row>
    <row r="27" spans="2:12" ht="15">
      <c r="B27" s="249" t="s">
        <v>16</v>
      </c>
      <c r="C27" s="783" t="s">
        <v>423</v>
      </c>
      <c r="D27" s="796"/>
      <c r="E27" s="796"/>
      <c r="F27" s="797"/>
      <c r="G27" s="256"/>
      <c r="H27" s="250" t="s">
        <v>16</v>
      </c>
      <c r="I27" s="786"/>
      <c r="J27" s="787"/>
      <c r="K27" s="787"/>
      <c r="L27" s="788"/>
    </row>
    <row r="28" ht="15.75" thickBot="1"/>
    <row r="29" spans="6:12" ht="44.25" customHeight="1">
      <c r="F29" s="237"/>
      <c r="G29" s="237"/>
      <c r="H29" s="183" t="s">
        <v>40</v>
      </c>
      <c r="I29" s="233" t="s">
        <v>87</v>
      </c>
      <c r="J29" s="248" t="s">
        <v>340</v>
      </c>
      <c r="K29" s="182" t="s">
        <v>334</v>
      </c>
      <c r="L29" s="234" t="s">
        <v>333</v>
      </c>
    </row>
    <row r="30" spans="6:12" ht="15" customHeight="1">
      <c r="F30" s="237"/>
      <c r="G30" s="237"/>
      <c r="H30" s="791">
        <f>+'Data Entry'!B112</f>
        <v>0</v>
      </c>
      <c r="I30" s="235">
        <f>+'Data Entry'!C112</f>
        <v>0</v>
      </c>
      <c r="J30" s="238">
        <f>+'Data Entry'!I112</f>
        <v>0</v>
      </c>
      <c r="K30" s="230">
        <f>+'Data Entry'!J112</f>
        <v>0</v>
      </c>
      <c r="L30" s="266">
        <f>+'Data Entry'!K112</f>
      </c>
    </row>
    <row r="31" spans="6:12" ht="15">
      <c r="F31" s="237"/>
      <c r="G31" s="237"/>
      <c r="H31" s="792"/>
      <c r="I31" s="235">
        <f>+'Data Entry'!C113</f>
        <v>0</v>
      </c>
      <c r="J31" s="238">
        <f>+'Data Entry'!I113</f>
        <v>0</v>
      </c>
      <c r="K31" s="230">
        <f>+'Data Entry'!J113</f>
        <v>0</v>
      </c>
      <c r="L31" s="267">
        <f>+'Data Entry'!K113</f>
      </c>
    </row>
    <row r="32" spans="6:12" ht="15">
      <c r="F32" s="237"/>
      <c r="G32" s="237"/>
      <c r="H32" s="792"/>
      <c r="I32" s="235">
        <f>+'Data Entry'!C114</f>
        <v>0</v>
      </c>
      <c r="J32" s="238">
        <f>+'Data Entry'!I114</f>
        <v>0</v>
      </c>
      <c r="K32" s="230">
        <f>+'Data Entry'!J114</f>
        <v>0</v>
      </c>
      <c r="L32" s="266">
        <f>+'Data Entry'!K114</f>
      </c>
    </row>
    <row r="33" spans="6:12" ht="15.75" thickBot="1">
      <c r="F33" s="237"/>
      <c r="G33" s="237"/>
      <c r="H33" s="793"/>
      <c r="I33" s="236">
        <f>+'Data Entry'!C115</f>
        <v>0</v>
      </c>
      <c r="J33" s="239">
        <f>+'Data Entry'!I115</f>
        <v>0</v>
      </c>
      <c r="K33" s="240">
        <f>+'Data Entry'!J115</f>
        <v>0</v>
      </c>
      <c r="L33" s="266">
        <f>+'Data Entry'!K115</f>
      </c>
    </row>
    <row r="34" spans="2:12" ht="24.75" customHeight="1">
      <c r="B34" s="799" t="str">
        <f>+'Data Entry'!B106</f>
        <v>* Includes only EFR category 4 and 5  (Health products and health equipment &amp; Medicines and Pharmaceuticals)</v>
      </c>
      <c r="C34" s="799"/>
      <c r="D34" s="799"/>
      <c r="E34" s="799"/>
      <c r="F34" s="19"/>
      <c r="G34" s="19"/>
      <c r="H34" s="179"/>
      <c r="I34" s="180"/>
      <c r="J34" s="181"/>
      <c r="K34" s="173"/>
      <c r="L34" s="20"/>
    </row>
    <row r="35" spans="6:12" ht="15">
      <c r="F35" s="19"/>
      <c r="G35" s="19"/>
      <c r="H35" s="19"/>
      <c r="I35" s="19"/>
      <c r="J35" s="19"/>
      <c r="K35" s="19"/>
      <c r="L35" s="19"/>
    </row>
  </sheetData>
  <sheetProtection password="CFC9" sheet="1"/>
  <mergeCells count="19">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 ref="C16:F16"/>
    <mergeCell ref="E10:F10"/>
    <mergeCell ref="C8:F8"/>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57" operator="greaterThan" stopIfTrue="1">
      <formula>0</formula>
    </cfRule>
  </conditionalFormatting>
  <conditionalFormatting sqref="C4:D4">
    <cfRule type="cellIs" priority="4" dxfId="57" operator="equal" stopIfTrue="1">
      <formula>"C"</formula>
    </cfRule>
    <cfRule type="cellIs" priority="5" dxfId="54" operator="equal" stopIfTrue="1">
      <formula>"B2"</formula>
    </cfRule>
    <cfRule type="cellIs" priority="6" dxfId="55" operator="equal" stopIfTrue="1">
      <formula>"B1"</formula>
    </cfRule>
  </conditionalFormatting>
  <conditionalFormatting sqref="L30 L32:L33">
    <cfRule type="cellIs" priority="13" dxfId="60" operator="lessThan" stopIfTrue="1">
      <formula>1</formula>
    </cfRule>
    <cfRule type="cellIs" priority="14" dxfId="61" operator="between" stopIfTrue="1">
      <formula>3</formula>
      <formula>17</formula>
    </cfRule>
    <cfRule type="cellIs" priority="15" dxfId="62" operator="between" stopIfTrue="1">
      <formula>1</formula>
      <formula>3</formula>
    </cfRule>
  </conditionalFormatting>
  <conditionalFormatting sqref="L31">
    <cfRule type="cellIs" priority="16" dxfId="60" operator="lessThan" stopIfTrue="1">
      <formula>1</formula>
    </cfRule>
    <cfRule type="cellIs" priority="17" dxfId="61" operator="between" stopIfTrue="1">
      <formula>3</formula>
      <formula>100</formula>
    </cfRule>
    <cfRule type="cellIs" priority="18" dxfId="62"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view="pageBreakPreview" zoomScaleNormal="130" zoomScaleSheetLayoutView="100" zoomScalePageLayoutView="0" workbookViewId="0" topLeftCell="A18">
      <selection activeCell="L26" sqref="L26:Q26"/>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11.00390625" style="0" customWidth="1"/>
    <col min="6" max="6" width="8.8515625" style="0" bestFit="1" customWidth="1"/>
    <col min="7" max="7" width="5.7109375" style="0" customWidth="1"/>
    <col min="8" max="8" width="6.28125" style="0" customWidth="1"/>
    <col min="9" max="9" width="6.00390625" style="0" customWidth="1"/>
    <col min="10" max="10" width="5.8515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803" t="str">
        <f>'Grant Detail'!B3:J3</f>
        <v>Dashboard:  Ghana - HIV / AIDS  (MoH)</v>
      </c>
      <c r="C2" s="803"/>
      <c r="D2" s="803"/>
      <c r="E2" s="803"/>
      <c r="F2" s="803"/>
      <c r="G2" s="803"/>
      <c r="H2" s="803"/>
      <c r="I2" s="803"/>
      <c r="J2" s="803"/>
      <c r="K2" s="803"/>
      <c r="L2" s="803"/>
      <c r="M2" s="803"/>
      <c r="N2" s="803"/>
      <c r="O2" s="803"/>
      <c r="P2" s="803"/>
      <c r="Q2" s="803"/>
    </row>
    <row r="3" spans="1:17" ht="15">
      <c r="A3" s="3"/>
      <c r="B3" s="101" t="str">
        <f>+IF('Data Entry'!G8="Please Select","",'Data Entry'!G8)</f>
        <v>NFM</v>
      </c>
      <c r="C3" s="775">
        <f>+IF('Data Entry'!I8="Please Select","",'Data Entry'!I8)</f>
        <v>0</v>
      </c>
      <c r="D3" s="775"/>
      <c r="E3" s="774"/>
      <c r="F3" s="774"/>
      <c r="G3" s="774"/>
      <c r="H3" s="774"/>
      <c r="I3" s="808"/>
      <c r="J3" s="808"/>
      <c r="K3" s="808"/>
      <c r="L3" s="3"/>
      <c r="M3" s="3"/>
      <c r="O3" s="772" t="str">
        <f>+'Data Entry'!B16</f>
        <v>Report Period:</v>
      </c>
      <c r="P3" s="772"/>
      <c r="Q3" s="167" t="str">
        <f>+'Data Entry'!C16</f>
        <v>P1</v>
      </c>
    </row>
    <row r="4" spans="1:29" ht="12" customHeight="1">
      <c r="A4" s="3"/>
      <c r="B4" s="101" t="str">
        <f>+'Data Entry'!B12</f>
        <v>Latest Rating:</v>
      </c>
      <c r="C4" s="809">
        <f>+IF('Data Entry'!C12="Please Select","",'Data Entry'!C12)</f>
        <v>0</v>
      </c>
      <c r="D4" s="809"/>
      <c r="E4" s="774" t="str">
        <f>+'Data Entry'!C8</f>
        <v>MOH</v>
      </c>
      <c r="F4" s="774"/>
      <c r="G4" s="774"/>
      <c r="H4" s="774"/>
      <c r="I4" s="774"/>
      <c r="J4" s="774"/>
      <c r="K4" s="774"/>
      <c r="L4" s="774"/>
      <c r="M4" s="3"/>
      <c r="O4" s="242"/>
      <c r="P4" s="101" t="str">
        <f>+'Data Entry'!D16</f>
        <v>From:</v>
      </c>
      <c r="Q4" s="243">
        <f>+IF(ISBLANK('Data Entry'!E16),"",'Data Entry'!E16)</f>
        <v>42186</v>
      </c>
      <c r="Y4" s="66"/>
      <c r="Z4" s="66"/>
      <c r="AA4" s="66"/>
      <c r="AB4" s="66"/>
      <c r="AC4" s="66"/>
    </row>
    <row r="5" spans="1:35" ht="15.75" customHeight="1">
      <c r="A5" s="3"/>
      <c r="B5" s="101"/>
      <c r="C5" s="101"/>
      <c r="D5" s="774" t="str">
        <f>+'Data Entry'!G4</f>
        <v>Accelerating Access to Prevention, Treatment, Care &amp; Support for HIV/AIDS</v>
      </c>
      <c r="E5" s="774"/>
      <c r="F5" s="774"/>
      <c r="G5" s="774"/>
      <c r="H5" s="774"/>
      <c r="I5" s="774"/>
      <c r="J5" s="774"/>
      <c r="K5" s="774"/>
      <c r="L5" s="774"/>
      <c r="M5" s="774"/>
      <c r="N5" s="774"/>
      <c r="P5" s="101" t="str">
        <f>+'Data Entry'!F16</f>
        <v>To:</v>
      </c>
      <c r="Q5" s="243">
        <f>+IF(ISBLANK('Data Entry'!G16),"",'Data Entry'!G16)</f>
        <v>42277</v>
      </c>
      <c r="S5" s="189"/>
      <c r="T5" s="189"/>
      <c r="U5" s="189"/>
      <c r="V5" s="189"/>
      <c r="W5" s="189"/>
      <c r="X5" s="189"/>
      <c r="Y5" s="66"/>
      <c r="Z5" s="66"/>
      <c r="AA5" s="66" t="s">
        <v>50</v>
      </c>
      <c r="AB5" s="66"/>
      <c r="AC5" s="66" t="s">
        <v>271</v>
      </c>
      <c r="AD5" s="189"/>
      <c r="AE5" s="189"/>
      <c r="AF5" s="189"/>
      <c r="AG5" s="189"/>
      <c r="AH5" s="189"/>
      <c r="AI5" s="189"/>
    </row>
    <row r="6" spans="1:35" ht="15.75" customHeight="1">
      <c r="A6" s="3"/>
      <c r="B6" s="101"/>
      <c r="C6" s="101"/>
      <c r="D6" s="188"/>
      <c r="E6" s="188"/>
      <c r="F6" s="807" t="s">
        <v>383</v>
      </c>
      <c r="G6" s="807"/>
      <c r="H6" s="807"/>
      <c r="I6" s="807"/>
      <c r="J6" s="807"/>
      <c r="K6" s="807"/>
      <c r="L6" s="188"/>
      <c r="M6" s="3"/>
      <c r="N6" s="3"/>
      <c r="O6" s="169"/>
      <c r="P6" s="203"/>
      <c r="S6" s="189"/>
      <c r="T6" s="189"/>
      <c r="U6" s="189"/>
      <c r="V6" s="189"/>
      <c r="W6" s="189"/>
      <c r="X6" s="189"/>
      <c r="Y6" s="66"/>
      <c r="Z6" s="66"/>
      <c r="AA6" s="66"/>
      <c r="AB6" s="66"/>
      <c r="AC6" s="66"/>
      <c r="AD6" s="189"/>
      <c r="AE6" s="189"/>
      <c r="AF6" s="189"/>
      <c r="AG6" s="189"/>
      <c r="AH6" s="189"/>
      <c r="AI6" s="189"/>
    </row>
    <row r="7" spans="1:35" ht="3" customHeight="1" thickBot="1">
      <c r="A7" s="3"/>
      <c r="B7" s="101"/>
      <c r="C7" s="101"/>
      <c r="D7" s="188"/>
      <c r="E7" s="188"/>
      <c r="F7" s="188"/>
      <c r="G7" s="188"/>
      <c r="H7" s="188"/>
      <c r="I7" s="188"/>
      <c r="J7" s="188"/>
      <c r="K7" s="188"/>
      <c r="L7" s="188"/>
      <c r="M7" s="3"/>
      <c r="N7" s="3"/>
      <c r="O7" s="169"/>
      <c r="P7" s="168"/>
      <c r="Q7" s="168"/>
      <c r="S7" s="189"/>
      <c r="T7" s="189"/>
      <c r="U7" s="189"/>
      <c r="V7" s="189"/>
      <c r="W7" s="189"/>
      <c r="X7" s="189"/>
      <c r="Y7" s="66"/>
      <c r="Z7" s="66"/>
      <c r="AA7" s="66"/>
      <c r="AB7" s="66"/>
      <c r="AC7" s="66"/>
      <c r="AD7" s="189"/>
      <c r="AE7" s="189"/>
      <c r="AF7" s="189"/>
      <c r="AG7" s="189"/>
      <c r="AH7" s="189"/>
      <c r="AI7" s="189"/>
    </row>
    <row r="8" spans="1:35" ht="18.75" customHeight="1" thickBot="1">
      <c r="A8" s="3"/>
      <c r="B8" s="804" t="str">
        <f>+'Data Entry'!B122</f>
        <v>% of adults and children currently receiving antiretroviral among adults and children living with HIV</v>
      </c>
      <c r="C8" s="805"/>
      <c r="D8" s="805"/>
      <c r="E8" s="806"/>
      <c r="F8" s="804" t="str">
        <f>B21</f>
        <v># and % of HIV-infected women receiving a course of anti-retroviral prophylaxis to reduce Mother to Child Transmission</v>
      </c>
      <c r="G8" s="805"/>
      <c r="H8" s="805"/>
      <c r="I8" s="805"/>
      <c r="J8" s="805"/>
      <c r="K8" s="806"/>
      <c r="L8" s="804" t="str">
        <f>+'Data Entry'!B126</f>
        <v> % of pregnant women who know their HIV status</v>
      </c>
      <c r="M8" s="805"/>
      <c r="N8" s="805"/>
      <c r="O8" s="805"/>
      <c r="P8" s="805"/>
      <c r="Q8" s="806"/>
      <c r="S8" s="189"/>
      <c r="T8" s="189"/>
      <c r="U8" s="189"/>
      <c r="V8" s="189"/>
      <c r="W8" s="189"/>
      <c r="X8" s="189"/>
      <c r="Y8" s="66"/>
      <c r="Z8" s="66"/>
      <c r="AA8" s="66"/>
      <c r="AB8" s="66"/>
      <c r="AC8" s="66"/>
      <c r="AD8" s="189"/>
      <c r="AE8" s="189"/>
      <c r="AF8" s="189"/>
      <c r="AG8" s="189"/>
      <c r="AH8" s="189"/>
      <c r="AI8" s="189"/>
    </row>
    <row r="9" spans="1:35" ht="18.75" customHeight="1">
      <c r="A9" s="3"/>
      <c r="B9" s="284" t="s">
        <v>12</v>
      </c>
      <c r="C9" s="838" t="s">
        <v>462</v>
      </c>
      <c r="D9" s="839"/>
      <c r="E9" s="840"/>
      <c r="F9" s="285" t="s">
        <v>12</v>
      </c>
      <c r="G9" s="838" t="s">
        <v>463</v>
      </c>
      <c r="H9" s="839"/>
      <c r="I9" s="839"/>
      <c r="J9" s="839"/>
      <c r="K9" s="840"/>
      <c r="L9" s="285" t="s">
        <v>13</v>
      </c>
      <c r="M9" s="838" t="s">
        <v>464</v>
      </c>
      <c r="N9" s="841"/>
      <c r="O9" s="841"/>
      <c r="P9" s="841"/>
      <c r="Q9" s="842"/>
      <c r="S9" s="189"/>
      <c r="T9" s="189"/>
      <c r="U9" s="189"/>
      <c r="V9" s="189"/>
      <c r="W9" s="189"/>
      <c r="X9" s="189"/>
      <c r="Y9" s="189"/>
      <c r="Z9" s="189"/>
      <c r="AA9" s="189"/>
      <c r="AB9" s="189"/>
      <c r="AC9" s="189"/>
      <c r="AD9" s="189"/>
      <c r="AE9" s="189"/>
      <c r="AF9" s="189"/>
      <c r="AG9" s="189"/>
      <c r="AH9" s="189"/>
      <c r="AI9" s="189"/>
    </row>
    <row r="10" spans="1:35" ht="18.75" customHeight="1">
      <c r="A10" s="3"/>
      <c r="B10" s="101"/>
      <c r="C10" s="101"/>
      <c r="D10" s="188"/>
      <c r="E10" s="188"/>
      <c r="F10" s="188"/>
      <c r="G10" s="188"/>
      <c r="H10" s="188"/>
      <c r="I10" s="188"/>
      <c r="J10" s="188"/>
      <c r="K10" s="188"/>
      <c r="L10" s="188"/>
      <c r="M10" s="3"/>
      <c r="N10" s="3"/>
      <c r="O10" s="169"/>
      <c r="P10" s="168"/>
      <c r="S10" s="189"/>
      <c r="T10" s="189"/>
      <c r="U10" s="189"/>
      <c r="V10" s="189"/>
      <c r="W10" s="189"/>
      <c r="X10" s="189"/>
      <c r="Y10" s="189"/>
      <c r="Z10" s="189"/>
      <c r="AA10" s="189"/>
      <c r="AB10" s="189"/>
      <c r="AC10" s="189"/>
      <c r="AD10" s="189"/>
      <c r="AE10" s="189"/>
      <c r="AF10" s="189"/>
      <c r="AG10" s="189"/>
      <c r="AH10" s="189"/>
      <c r="AI10" s="189"/>
    </row>
    <row r="11" spans="1:35" ht="18.75" customHeight="1">
      <c r="A11" s="3"/>
      <c r="B11" s="101"/>
      <c r="C11" s="101"/>
      <c r="D11" s="188"/>
      <c r="E11" s="188"/>
      <c r="F11" s="188"/>
      <c r="G11" s="188"/>
      <c r="H11" s="188"/>
      <c r="I11" s="188"/>
      <c r="J11" s="188"/>
      <c r="K11" s="188"/>
      <c r="L11" s="188"/>
      <c r="M11" s="3"/>
      <c r="N11" s="3"/>
      <c r="O11" s="169"/>
      <c r="P11" s="168"/>
      <c r="S11" s="189"/>
      <c r="T11" s="189"/>
      <c r="U11" s="189"/>
      <c r="V11" s="189"/>
      <c r="W11" s="189"/>
      <c r="X11" s="189"/>
      <c r="Y11" s="189"/>
      <c r="Z11" s="189"/>
      <c r="AA11" s="189"/>
      <c r="AB11" s="189"/>
      <c r="AC11" s="189"/>
      <c r="AD11" s="189"/>
      <c r="AE11" s="189"/>
      <c r="AF11" s="189"/>
      <c r="AG11" s="189"/>
      <c r="AH11" s="189"/>
      <c r="AI11" s="189"/>
    </row>
    <row r="12" spans="1:35" ht="18.75" customHeight="1">
      <c r="A12" s="3"/>
      <c r="B12" s="101"/>
      <c r="C12" s="101"/>
      <c r="D12" s="188"/>
      <c r="E12" s="188"/>
      <c r="F12" s="188"/>
      <c r="G12" s="188"/>
      <c r="H12" s="188"/>
      <c r="I12" s="188"/>
      <c r="J12" s="188"/>
      <c r="K12" s="188"/>
      <c r="L12" s="188"/>
      <c r="M12" s="3"/>
      <c r="N12" s="3"/>
      <c r="O12" s="169"/>
      <c r="P12" s="168"/>
      <c r="S12" s="189"/>
      <c r="T12" s="189"/>
      <c r="U12" s="189"/>
      <c r="V12" s="189"/>
      <c r="W12" s="189"/>
      <c r="X12" s="189"/>
      <c r="Y12" s="189"/>
      <c r="Z12" s="189"/>
      <c r="AA12" s="189"/>
      <c r="AB12" s="189"/>
      <c r="AC12" s="189"/>
      <c r="AD12" s="189"/>
      <c r="AE12" s="189"/>
      <c r="AF12" s="189"/>
      <c r="AG12" s="189"/>
      <c r="AH12" s="189"/>
      <c r="AI12" s="189"/>
    </row>
    <row r="13" spans="1:35" ht="18.75" customHeight="1">
      <c r="A13" s="3"/>
      <c r="B13" s="101"/>
      <c r="C13" s="101"/>
      <c r="D13" s="188"/>
      <c r="E13" s="188"/>
      <c r="F13" s="188"/>
      <c r="G13" s="188"/>
      <c r="H13" s="188"/>
      <c r="I13" s="188"/>
      <c r="J13" s="188"/>
      <c r="K13" s="188"/>
      <c r="L13" s="188"/>
      <c r="M13" s="3"/>
      <c r="N13" s="3"/>
      <c r="O13" s="169"/>
      <c r="P13" s="168"/>
      <c r="S13" s="189"/>
      <c r="T13" s="189"/>
      <c r="U13" s="189"/>
      <c r="V13" s="189"/>
      <c r="W13" s="189"/>
      <c r="X13" s="189"/>
      <c r="Y13" s="189"/>
      <c r="Z13" s="189"/>
      <c r="AA13" s="189"/>
      <c r="AB13" s="189"/>
      <c r="AC13" s="189"/>
      <c r="AD13" s="189"/>
      <c r="AE13" s="189"/>
      <c r="AF13" s="189"/>
      <c r="AG13" s="189"/>
      <c r="AH13" s="189"/>
      <c r="AI13" s="189"/>
    </row>
    <row r="14" spans="1:35" ht="18.75" customHeight="1">
      <c r="A14" s="3"/>
      <c r="B14" s="101"/>
      <c r="C14" s="101"/>
      <c r="D14" s="188"/>
      <c r="E14" s="188"/>
      <c r="F14" s="188"/>
      <c r="G14" s="188"/>
      <c r="H14" s="188"/>
      <c r="I14" s="188"/>
      <c r="J14" s="188"/>
      <c r="K14" s="188"/>
      <c r="L14" s="188"/>
      <c r="M14" s="3"/>
      <c r="N14" s="3"/>
      <c r="O14" s="169"/>
      <c r="P14" s="168"/>
      <c r="S14" s="189"/>
      <c r="T14" s="189"/>
      <c r="U14" s="189"/>
      <c r="V14" s="189"/>
      <c r="W14" s="189"/>
      <c r="X14" s="189"/>
      <c r="Y14" s="189"/>
      <c r="Z14" s="189"/>
      <c r="AA14" s="189"/>
      <c r="AB14" s="189"/>
      <c r="AC14" s="189"/>
      <c r="AD14" s="189"/>
      <c r="AE14" s="189"/>
      <c r="AF14" s="189"/>
      <c r="AG14" s="189"/>
      <c r="AH14" s="189"/>
      <c r="AI14" s="189"/>
    </row>
    <row r="15" spans="1:35" ht="18.75" customHeight="1">
      <c r="A15" s="3"/>
      <c r="B15" s="101"/>
      <c r="C15" s="101"/>
      <c r="D15" s="188"/>
      <c r="E15" s="188"/>
      <c r="F15" s="188"/>
      <c r="G15" s="188"/>
      <c r="H15" s="188"/>
      <c r="I15" s="188"/>
      <c r="J15" s="188"/>
      <c r="K15" s="188"/>
      <c r="L15" s="188"/>
      <c r="M15" s="3"/>
      <c r="N15" s="3"/>
      <c r="O15" s="169"/>
      <c r="P15" s="168"/>
      <c r="S15" s="189"/>
      <c r="T15" s="189"/>
      <c r="U15" s="189"/>
      <c r="V15" s="189"/>
      <c r="W15" s="189"/>
      <c r="X15" s="189"/>
      <c r="Y15" s="189"/>
      <c r="Z15" s="189"/>
      <c r="AA15" s="189"/>
      <c r="AB15" s="189"/>
      <c r="AC15" s="189"/>
      <c r="AD15" s="189"/>
      <c r="AE15" s="189"/>
      <c r="AF15" s="189"/>
      <c r="AG15" s="189"/>
      <c r="AH15" s="189"/>
      <c r="AI15" s="189"/>
    </row>
    <row r="16" spans="1:35" ht="18.75" customHeight="1">
      <c r="A16" s="3"/>
      <c r="B16" s="101"/>
      <c r="C16" s="101"/>
      <c r="D16" s="188"/>
      <c r="E16" s="188"/>
      <c r="F16" s="188"/>
      <c r="G16" s="188"/>
      <c r="H16" s="188"/>
      <c r="I16" s="188"/>
      <c r="J16" s="188"/>
      <c r="K16" s="188"/>
      <c r="L16" s="188"/>
      <c r="M16" s="3"/>
      <c r="N16" s="3"/>
      <c r="O16" s="169"/>
      <c r="P16" s="168"/>
      <c r="S16" s="189"/>
      <c r="T16" s="189"/>
      <c r="U16" s="189"/>
      <c r="V16" s="189"/>
      <c r="W16" s="189"/>
      <c r="X16" s="189"/>
      <c r="Y16" s="189"/>
      <c r="Z16" s="189"/>
      <c r="AA16" s="189"/>
      <c r="AB16" s="189"/>
      <c r="AC16" s="189"/>
      <c r="AD16" s="189"/>
      <c r="AE16" s="189"/>
      <c r="AF16" s="189"/>
      <c r="AG16" s="189"/>
      <c r="AH16" s="189"/>
      <c r="AI16" s="189"/>
    </row>
    <row r="17" spans="1:35" ht="17.25" customHeight="1">
      <c r="A17" s="3"/>
      <c r="B17" s="101"/>
      <c r="C17" s="101"/>
      <c r="D17" s="188"/>
      <c r="E17" s="188"/>
      <c r="F17" s="188"/>
      <c r="G17" s="188"/>
      <c r="H17" s="188"/>
      <c r="I17" s="188"/>
      <c r="J17" s="188"/>
      <c r="K17" s="188"/>
      <c r="L17" s="188"/>
      <c r="M17" s="3"/>
      <c r="N17" s="3"/>
      <c r="O17" s="169"/>
      <c r="P17" s="168"/>
      <c r="S17" s="189"/>
      <c r="T17" s="189"/>
      <c r="U17" s="189"/>
      <c r="V17" s="189"/>
      <c r="W17" s="189"/>
      <c r="X17" s="189"/>
      <c r="Y17" s="189"/>
      <c r="Z17" s="189"/>
      <c r="AA17" s="189"/>
      <c r="AB17" s="189"/>
      <c r="AC17" s="189"/>
      <c r="AD17" s="189"/>
      <c r="AE17" s="189"/>
      <c r="AF17" s="189"/>
      <c r="AG17" s="189"/>
      <c r="AH17" s="189"/>
      <c r="AI17" s="189"/>
    </row>
    <row r="18" spans="1:35" ht="6" customHeight="1">
      <c r="A18" s="3"/>
      <c r="B18" s="105"/>
      <c r="C18" s="101"/>
      <c r="D18" s="102"/>
      <c r="E18" s="825"/>
      <c r="F18" s="825"/>
      <c r="G18" s="825"/>
      <c r="H18" s="825"/>
      <c r="I18" s="825"/>
      <c r="J18" s="825"/>
      <c r="K18" s="825"/>
      <c r="L18" s="3"/>
      <c r="M18" s="3"/>
      <c r="N18" s="3"/>
      <c r="O18" s="3"/>
      <c r="P18" s="3"/>
      <c r="S18" s="189"/>
      <c r="T18" s="189"/>
      <c r="U18" s="189"/>
      <c r="V18" s="189"/>
      <c r="W18" s="189"/>
      <c r="X18" s="189"/>
      <c r="Y18" s="189"/>
      <c r="Z18" s="189"/>
      <c r="AA18" s="189"/>
      <c r="AB18" s="189"/>
      <c r="AC18" s="189"/>
      <c r="AD18" s="189"/>
      <c r="AE18" s="189"/>
      <c r="AF18" s="189"/>
      <c r="AG18" s="189"/>
      <c r="AH18" s="189"/>
      <c r="AI18" s="189"/>
    </row>
    <row r="19" spans="1:35" ht="24" customHeight="1">
      <c r="A19" s="3"/>
      <c r="B19" s="826" t="s">
        <v>96</v>
      </c>
      <c r="C19" s="826"/>
      <c r="D19" s="826"/>
      <c r="E19" s="112" t="s">
        <v>93</v>
      </c>
      <c r="F19" s="112" t="s">
        <v>97</v>
      </c>
      <c r="G19" s="821" t="s">
        <v>335</v>
      </c>
      <c r="H19" s="822"/>
      <c r="I19" s="823" t="s">
        <v>336</v>
      </c>
      <c r="J19" s="824"/>
      <c r="K19" s="241" t="s">
        <v>337</v>
      </c>
      <c r="L19" s="814" t="s">
        <v>100</v>
      </c>
      <c r="M19" s="815"/>
      <c r="N19" s="815"/>
      <c r="O19" s="815"/>
      <c r="P19" s="815"/>
      <c r="Q19" s="816"/>
      <c r="S19" s="60" t="s">
        <v>98</v>
      </c>
      <c r="T19" s="61">
        <v>0</v>
      </c>
      <c r="U19" s="62">
        <v>0.3</v>
      </c>
      <c r="V19" s="62">
        <v>0.6</v>
      </c>
      <c r="W19" s="62">
        <v>0.9</v>
      </c>
      <c r="X19" s="62">
        <v>1</v>
      </c>
      <c r="Y19" s="66"/>
      <c r="Z19" s="66"/>
      <c r="AA19" s="60" t="s">
        <v>98</v>
      </c>
      <c r="AB19" s="61">
        <v>0</v>
      </c>
      <c r="AC19" s="62">
        <v>0.2</v>
      </c>
      <c r="AD19" s="62">
        <v>0.4</v>
      </c>
      <c r="AE19" s="62">
        <v>0.6</v>
      </c>
      <c r="AF19" s="62">
        <v>0.8</v>
      </c>
      <c r="AG19" s="66"/>
      <c r="AH19" s="66"/>
      <c r="AI19" s="66"/>
    </row>
    <row r="20" spans="1:35" ht="87.75" customHeight="1">
      <c r="A20" s="3"/>
      <c r="B20" s="820" t="str">
        <f>+'Data Entry'!B122</f>
        <v>% of adults and children currently receiving antiretroviral among adults and children living with HIV</v>
      </c>
      <c r="C20" s="820"/>
      <c r="D20" s="820"/>
      <c r="E20" s="113">
        <f ca="1">OFFSET('Data Entry'!$G$121,1,RIGHT('Data Entry'!$C$16,LEN('Data Entry'!$C$16)-1),1,1)</f>
        <v>97889</v>
      </c>
      <c r="F20" s="113">
        <f ca="1">OFFSET('Data Entry'!$G$121,2,RIGHT('Data Entry'!$C$16,LEN('Data Entry'!$C$16)-1),1,1)</f>
        <v>95989</v>
      </c>
      <c r="G20" s="810">
        <f aca="true" t="shared" si="0" ref="G20:G29">+IF(ISERROR(F20/E20),0,F20/E20)</f>
        <v>0.9805902603969803</v>
      </c>
      <c r="H20" s="811"/>
      <c r="I20" s="811"/>
      <c r="J20" s="811"/>
      <c r="K20" s="812"/>
      <c r="L20" s="817" t="s">
        <v>456</v>
      </c>
      <c r="M20" s="818"/>
      <c r="N20" s="818"/>
      <c r="O20" s="818"/>
      <c r="P20" s="818"/>
      <c r="Q20" s="819"/>
      <c r="R20" s="324"/>
      <c r="S20" s="323"/>
      <c r="T20" s="63">
        <v>0.3</v>
      </c>
      <c r="U20" s="62">
        <v>0.6</v>
      </c>
      <c r="V20" s="62">
        <v>0.9</v>
      </c>
      <c r="W20" s="62">
        <v>1</v>
      </c>
      <c r="X20" s="62">
        <v>2</v>
      </c>
      <c r="Y20" s="66"/>
      <c r="Z20" s="66"/>
      <c r="AA20" s="60" t="s">
        <v>99</v>
      </c>
      <c r="AB20" s="63">
        <v>0.2</v>
      </c>
      <c r="AC20" s="62">
        <v>0.4</v>
      </c>
      <c r="AD20" s="62">
        <v>0.6</v>
      </c>
      <c r="AE20" s="62">
        <v>0.8</v>
      </c>
      <c r="AF20" s="62">
        <v>1</v>
      </c>
      <c r="AG20" s="66"/>
      <c r="AH20" s="66"/>
      <c r="AI20" s="66"/>
    </row>
    <row r="21" spans="1:35" ht="24" customHeight="1">
      <c r="A21" s="3"/>
      <c r="B21" s="828" t="s">
        <v>428</v>
      </c>
      <c r="C21" s="829"/>
      <c r="D21" s="830"/>
      <c r="E21" s="113">
        <f ca="1">OFFSET('Data Entry'!$G$121,3,RIGHT('Data Entry'!$C$16,LEN('Data Entry'!$C$16)-1),1,1)</f>
        <v>0</v>
      </c>
      <c r="F21" s="113">
        <f ca="1">OFFSET('Data Entry'!$G$121,4,RIGHT('Data Entry'!$C$16,LEN('Data Entry'!$C$16)-1),1,1)</f>
        <v>0</v>
      </c>
      <c r="G21" s="810">
        <f t="shared" si="0"/>
        <v>0</v>
      </c>
      <c r="H21" s="811"/>
      <c r="I21" s="811"/>
      <c r="J21" s="811"/>
      <c r="K21" s="812"/>
      <c r="L21" s="817"/>
      <c r="M21" s="818"/>
      <c r="N21" s="818"/>
      <c r="O21" s="818"/>
      <c r="P21" s="818"/>
      <c r="Q21" s="819"/>
      <c r="S21" s="64"/>
      <c r="T21" s="65" t="str">
        <f>"de "&amp;T19&amp;" a "&amp;T20</f>
        <v>de 0 a 0.3</v>
      </c>
      <c r="U21" s="65" t="str">
        <f>"de "&amp;U19&amp;" a "&amp;U20</f>
        <v>de 0.3 a 0.6</v>
      </c>
      <c r="V21" s="65" t="str">
        <f>"de "&amp;V19&amp;" a "&amp;V20</f>
        <v>de 0.6 a 0.9</v>
      </c>
      <c r="W21" s="65" t="str">
        <f>"de "&amp;W19&amp;" a "&amp;W20</f>
        <v>de 0.9 a 1</v>
      </c>
      <c r="X21" s="65" t="str">
        <f>"de "&amp;X19&amp;" a "&amp;X20</f>
        <v>de 1 a 2</v>
      </c>
      <c r="Y21" s="66"/>
      <c r="Z21" s="66" t="s">
        <v>272</v>
      </c>
      <c r="AA21" s="64" t="s">
        <v>271</v>
      </c>
      <c r="AB21" s="65" t="str">
        <f>"de "&amp;AB19&amp;" a "&amp;AB20</f>
        <v>de 0 a 0.2</v>
      </c>
      <c r="AC21" s="65" t="str">
        <f>"de "&amp;AC19&amp;" a "&amp;AC20</f>
        <v>de 0.2 a 0.4</v>
      </c>
      <c r="AD21" s="65" t="str">
        <f>"de "&amp;AD19&amp;" a "&amp;AD20</f>
        <v>de 0.4 a 0.6</v>
      </c>
      <c r="AE21" s="65" t="str">
        <f>"de "&amp;AE19&amp;" a "&amp;AE20</f>
        <v>de 0.6 a 0.8</v>
      </c>
      <c r="AF21" s="65" t="str">
        <f>"de "&amp;AF19&amp;" a "&amp;AF20</f>
        <v>de 0.8 a 1</v>
      </c>
      <c r="AG21" s="66"/>
      <c r="AH21" s="66"/>
      <c r="AI21" s="66"/>
    </row>
    <row r="22" spans="1:35" ht="23.25" customHeight="1">
      <c r="A22" s="3"/>
      <c r="B22" s="820" t="str">
        <f>+'Data Entry'!B126</f>
        <v> % of pregnant women who know their HIV status</v>
      </c>
      <c r="C22" s="820"/>
      <c r="D22" s="820"/>
      <c r="E22" s="113">
        <f ca="1">OFFSET('Data Entry'!$G$121,5,RIGHT('Data Entry'!$C$16,LEN('Data Entry'!$C$16)-1),1,1)</f>
        <v>767363</v>
      </c>
      <c r="F22" s="325">
        <f ca="1">OFFSET('Data Entry'!$G$121,6,RIGHT('Data Entry'!$C$16,LEN('Data Entry'!$C$16)-1),1,1)</f>
        <v>546636</v>
      </c>
      <c r="G22" s="810">
        <f t="shared" si="0"/>
        <v>0.7123564727514878</v>
      </c>
      <c r="H22" s="811"/>
      <c r="I22" s="811"/>
      <c r="J22" s="811"/>
      <c r="K22" s="812"/>
      <c r="L22" s="817" t="s">
        <v>457</v>
      </c>
      <c r="M22" s="818"/>
      <c r="N22" s="818"/>
      <c r="O22" s="818"/>
      <c r="P22" s="818"/>
      <c r="Q22" s="819"/>
      <c r="R22" s="560">
        <v>0.88</v>
      </c>
      <c r="S22" s="64"/>
      <c r="T22" s="62" t="e">
        <f aca="true" t="shared" si="1" ref="T22:W33">IF($K20&gt;T$19,IF($K20&lt;=T$20,$K20,NA()),NA())</f>
        <v>#N/A</v>
      </c>
      <c r="U22" s="62" t="e">
        <f t="shared" si="1"/>
        <v>#N/A</v>
      </c>
      <c r="V22" s="62" t="e">
        <f t="shared" si="1"/>
        <v>#N/A</v>
      </c>
      <c r="W22" s="62" t="e">
        <f t="shared" si="1"/>
        <v>#N/A</v>
      </c>
      <c r="X22" s="62" t="e">
        <f>IF($K20&gt;X$19,IF($K20&lt;=X$20,1,NA()),NA())</f>
        <v>#N/A</v>
      </c>
      <c r="Y22" s="66"/>
      <c r="Z22" s="165" t="e">
        <f>+'Grant Detail'!#REF!</f>
        <v>#REF!</v>
      </c>
      <c r="AA22" s="62" t="e">
        <f>+IF(Z22="A1",1,IF(Z22="A2",0.8,IF(Z22="B1",0.6,IF(Z22="B2",0.4,0.2))))</f>
        <v>#REF!</v>
      </c>
      <c r="AB22" s="62" t="e">
        <f>IF($AA22&gt;AB$19,IF($AA22&lt;=AB$20,$AA22,NA()),NA())</f>
        <v>#REF!</v>
      </c>
      <c r="AC22" s="62" t="e">
        <f aca="true" t="shared" si="2" ref="AC22:AF24">IF($AA22&gt;AC$19,IF($AA22&lt;=AC$20,$AA22,NA()),NA())</f>
        <v>#REF!</v>
      </c>
      <c r="AD22" s="62" t="e">
        <f t="shared" si="2"/>
        <v>#REF!</v>
      </c>
      <c r="AE22" s="62" t="e">
        <f t="shared" si="2"/>
        <v>#REF!</v>
      </c>
      <c r="AF22" s="62" t="e">
        <f t="shared" si="2"/>
        <v>#REF!</v>
      </c>
      <c r="AG22" s="66"/>
      <c r="AH22" s="66"/>
      <c r="AI22" s="66"/>
    </row>
    <row r="23" spans="1:35" ht="84.75" customHeight="1">
      <c r="A23" s="3"/>
      <c r="B23" s="828" t="str">
        <f>+'Data Entry'!B128</f>
        <v>% of HIV positive pregnant women who received antiretrovirals to reduce the risk of mother-to-child transmission</v>
      </c>
      <c r="C23" s="829"/>
      <c r="D23" s="830"/>
      <c r="E23" s="113">
        <f ca="1">OFFSET('Data Entry'!$G$121,7,RIGHT('Data Entry'!$C$16,LEN('Data Entry'!$C$16)-1),1,1)</f>
        <v>11774</v>
      </c>
      <c r="F23" s="113">
        <f ca="1">OFFSET('Data Entry'!$G$121,8,RIGHT('Data Entry'!$C$16,LEN('Data Entry'!$C$16)-1),1,1)</f>
        <v>5751</v>
      </c>
      <c r="G23" s="810">
        <f t="shared" si="0"/>
        <v>0.488449125191099</v>
      </c>
      <c r="H23" s="811"/>
      <c r="I23" s="811"/>
      <c r="J23" s="811"/>
      <c r="K23" s="812"/>
      <c r="L23" s="817" t="s">
        <v>459</v>
      </c>
      <c r="M23" s="818"/>
      <c r="N23" s="818"/>
      <c r="O23" s="818"/>
      <c r="P23" s="818"/>
      <c r="Q23" s="819"/>
      <c r="R23" s="560">
        <v>0.75</v>
      </c>
      <c r="S23" s="64"/>
      <c r="T23" s="62" t="e">
        <f t="shared" si="1"/>
        <v>#N/A</v>
      </c>
      <c r="U23" s="62" t="e">
        <f t="shared" si="1"/>
        <v>#N/A</v>
      </c>
      <c r="V23" s="62" t="e">
        <f t="shared" si="1"/>
        <v>#N/A</v>
      </c>
      <c r="W23" s="62" t="e">
        <f t="shared" si="1"/>
        <v>#N/A</v>
      </c>
      <c r="X23" s="62" t="e">
        <f>IF($K21&gt;X$19,IF($K21&lt;=X$20,1,1),NA())</f>
        <v>#N/A</v>
      </c>
      <c r="Y23" s="66"/>
      <c r="Z23" s="165" t="e">
        <f>+'Grant Detail'!#REF!</f>
        <v>#REF!</v>
      </c>
      <c r="AA23" s="62" t="e">
        <f>+IF(Z23="A1",1,IF(Z23="A2",0.8,IF(Z23="B1",0.6,IF(Z23="B2",0.4,0.2))))</f>
        <v>#REF!</v>
      </c>
      <c r="AB23" s="62" t="e">
        <f>IF($AA23&gt;AB$19,IF($AA23&lt;=AB$20,$AA23,NA()),NA())</f>
        <v>#REF!</v>
      </c>
      <c r="AC23" s="62" t="e">
        <f t="shared" si="2"/>
        <v>#REF!</v>
      </c>
      <c r="AD23" s="62" t="e">
        <f t="shared" si="2"/>
        <v>#REF!</v>
      </c>
      <c r="AE23" s="62" t="e">
        <f t="shared" si="2"/>
        <v>#REF!</v>
      </c>
      <c r="AF23" s="62" t="e">
        <f t="shared" si="2"/>
        <v>#REF!</v>
      </c>
      <c r="AG23" s="66"/>
      <c r="AH23" s="66"/>
      <c r="AI23" s="66"/>
    </row>
    <row r="24" spans="1:35" ht="70.5" customHeight="1">
      <c r="A24" s="3"/>
      <c r="B24" s="820" t="str">
        <f>+'Data Entry'!B130</f>
        <v>% of infants born to HIV positive women who received a virological test for HIV test within 2 months of birth</v>
      </c>
      <c r="C24" s="820"/>
      <c r="D24" s="820"/>
      <c r="E24" s="113">
        <f ca="1">OFFSET('Data Entry'!$G$121,9,RIGHT('Data Entry'!$C$16,LEN('Data Entry'!$C$16)-1),1,1)</f>
        <v>10085</v>
      </c>
      <c r="F24" s="113">
        <f ca="1">OFFSET('Data Entry'!$G$121,10,RIGHT('Data Entry'!$C$16,LEN('Data Entry'!$C$16)-1),1,1)</f>
        <v>3374</v>
      </c>
      <c r="G24" s="810">
        <f t="shared" si="0"/>
        <v>0.3345562716906296</v>
      </c>
      <c r="H24" s="811"/>
      <c r="I24" s="811"/>
      <c r="J24" s="811"/>
      <c r="K24" s="812"/>
      <c r="L24" s="817" t="s">
        <v>461</v>
      </c>
      <c r="M24" s="818"/>
      <c r="N24" s="818"/>
      <c r="O24" s="818"/>
      <c r="P24" s="818"/>
      <c r="Q24" s="819"/>
      <c r="R24" s="560">
        <v>0.75</v>
      </c>
      <c r="S24" s="64"/>
      <c r="T24" s="62" t="e">
        <f t="shared" si="1"/>
        <v>#N/A</v>
      </c>
      <c r="U24" s="62" t="e">
        <f t="shared" si="1"/>
        <v>#N/A</v>
      </c>
      <c r="V24" s="62" t="e">
        <f t="shared" si="1"/>
        <v>#N/A</v>
      </c>
      <c r="W24" s="62" t="e">
        <f t="shared" si="1"/>
        <v>#N/A</v>
      </c>
      <c r="X24" s="62" t="e">
        <f aca="true" t="shared" si="3" ref="X24:X33">IF($K22&gt;X$19,IF($K22&lt;=X$20,1,NA()),NA())</f>
        <v>#N/A</v>
      </c>
      <c r="Y24" s="66"/>
      <c r="Z24" s="165" t="e">
        <f>+'Grant Detail'!#REF!</f>
        <v>#REF!</v>
      </c>
      <c r="AA24" s="62" t="e">
        <f>+IF(Z24="A1",1,IF(Z24="A2",0.8,IF(Z24="B1",0.6,IF(Z24="B2",0.4,0.2))))</f>
        <v>#REF!</v>
      </c>
      <c r="AB24" s="62" t="e">
        <f>IF($AA24&gt;AB$19,IF($AA24&lt;=AB$20,$AA24,NA()),NA())</f>
        <v>#REF!</v>
      </c>
      <c r="AC24" s="62" t="e">
        <f t="shared" si="2"/>
        <v>#REF!</v>
      </c>
      <c r="AD24" s="62" t="e">
        <f t="shared" si="2"/>
        <v>#REF!</v>
      </c>
      <c r="AE24" s="62" t="e">
        <f t="shared" si="2"/>
        <v>#REF!</v>
      </c>
      <c r="AF24" s="62" t="e">
        <f t="shared" si="2"/>
        <v>#REF!</v>
      </c>
      <c r="AG24" s="66"/>
      <c r="AH24" s="66"/>
      <c r="AI24" s="66"/>
    </row>
    <row r="25" spans="1:35" ht="24" customHeight="1">
      <c r="A25" s="3"/>
      <c r="B25" s="820" t="str">
        <f>+'Data Entry'!B132</f>
        <v>% of HIV Positive clients who were screened for TB in HIV care or treatment setting</v>
      </c>
      <c r="C25" s="820"/>
      <c r="D25" s="820"/>
      <c r="E25" s="113">
        <f ca="1">OFFSET('Data Entry'!$G$121,11,RIGHT('Data Entry'!$C$16,LEN('Data Entry'!$C$16)-1),1,1)</f>
        <v>104666</v>
      </c>
      <c r="F25" s="113">
        <f ca="1">OFFSET('Data Entry'!$G$121,12,RIGHT('Data Entry'!$C$16,LEN('Data Entry'!$C$16)-1),1,1)</f>
        <v>46336</v>
      </c>
      <c r="G25" s="810">
        <f t="shared" si="0"/>
        <v>0.44270345670991534</v>
      </c>
      <c r="H25" s="811"/>
      <c r="I25" s="811"/>
      <c r="J25" s="811"/>
      <c r="K25" s="812"/>
      <c r="L25" s="817" t="s">
        <v>458</v>
      </c>
      <c r="M25" s="818"/>
      <c r="N25" s="818"/>
      <c r="O25" s="818"/>
      <c r="P25" s="818"/>
      <c r="Q25" s="819"/>
      <c r="R25" s="560">
        <v>1</v>
      </c>
      <c r="S25" s="64"/>
      <c r="T25" s="62" t="e">
        <f t="shared" si="1"/>
        <v>#N/A</v>
      </c>
      <c r="U25" s="62" t="e">
        <f t="shared" si="1"/>
        <v>#N/A</v>
      </c>
      <c r="V25" s="62" t="e">
        <f t="shared" si="1"/>
        <v>#N/A</v>
      </c>
      <c r="W25" s="62" t="e">
        <f t="shared" si="1"/>
        <v>#N/A</v>
      </c>
      <c r="X25" s="62" t="e">
        <f t="shared" si="3"/>
        <v>#N/A</v>
      </c>
      <c r="Y25" s="66"/>
      <c r="Z25" s="66"/>
      <c r="AA25" s="66"/>
      <c r="AB25" s="66"/>
      <c r="AC25" s="66"/>
      <c r="AD25" s="66"/>
      <c r="AE25" s="66"/>
      <c r="AF25" s="66"/>
      <c r="AG25" s="66"/>
      <c r="AH25" s="66"/>
      <c r="AI25" s="66"/>
    </row>
    <row r="26" spans="1:35" ht="71.25" customHeight="1">
      <c r="A26" s="3"/>
      <c r="B26" s="820" t="str">
        <f>+'Data Entry'!B134</f>
        <v>Number of women and men 15+ who received an HIV test and know their results</v>
      </c>
      <c r="C26" s="820"/>
      <c r="D26" s="820"/>
      <c r="E26" s="113">
        <f ca="1">OFFSET('Data Entry'!$G$121,13,RIGHT('Data Entry'!$C$16,LEN('Data Entry'!$C$16)-1),1,1)</f>
        <v>1888489</v>
      </c>
      <c r="F26" s="113">
        <f ca="1">OFFSET('Data Entry'!$G$121,14,RIGHT('Data Entry'!$C$16,LEN('Data Entry'!$C$16)-1),1,1)</f>
        <v>728698</v>
      </c>
      <c r="G26" s="810">
        <f t="shared" si="0"/>
        <v>0.3858629835810534</v>
      </c>
      <c r="H26" s="811"/>
      <c r="I26" s="811"/>
      <c r="J26" s="811"/>
      <c r="K26" s="812"/>
      <c r="L26" s="817" t="s">
        <v>460</v>
      </c>
      <c r="M26" s="818"/>
      <c r="N26" s="818"/>
      <c r="O26" s="818"/>
      <c r="P26" s="818"/>
      <c r="Q26" s="819"/>
      <c r="R26" s="560">
        <v>0.75</v>
      </c>
      <c r="S26" s="64"/>
      <c r="T26" s="62" t="e">
        <f t="shared" si="1"/>
        <v>#N/A</v>
      </c>
      <c r="U26" s="62" t="e">
        <f t="shared" si="1"/>
        <v>#N/A</v>
      </c>
      <c r="V26" s="62" t="e">
        <f t="shared" si="1"/>
        <v>#N/A</v>
      </c>
      <c r="W26" s="62" t="e">
        <f t="shared" si="1"/>
        <v>#N/A</v>
      </c>
      <c r="X26" s="62" t="e">
        <f t="shared" si="3"/>
        <v>#N/A</v>
      </c>
      <c r="Y26" s="66"/>
      <c r="Z26" s="66"/>
      <c r="AA26" s="66"/>
      <c r="AB26" s="66"/>
      <c r="AC26" s="66"/>
      <c r="AD26" s="66"/>
      <c r="AE26" s="66"/>
      <c r="AF26" s="66"/>
      <c r="AG26" s="66"/>
      <c r="AH26" s="66"/>
      <c r="AI26" s="66"/>
    </row>
    <row r="27" spans="1:35" ht="24" customHeight="1">
      <c r="A27" s="3"/>
      <c r="B27" s="820">
        <f>+'Data Entry'!B136</f>
        <v>0</v>
      </c>
      <c r="C27" s="820"/>
      <c r="D27" s="820"/>
      <c r="E27" s="113">
        <f ca="1">OFFSET('Data Entry'!$G$121,15,RIGHT('Data Entry'!$C$16,LEN('Data Entry'!$C$16)-1),1,1)</f>
        <v>0</v>
      </c>
      <c r="F27" s="113">
        <f ca="1">OFFSET('Data Entry'!$G$121,16,RIGHT('Data Entry'!$C$16,LEN('Data Entry'!$C$16)-1),1,1)</f>
        <v>0</v>
      </c>
      <c r="G27" s="810">
        <f t="shared" si="0"/>
        <v>0</v>
      </c>
      <c r="H27" s="811"/>
      <c r="I27" s="811"/>
      <c r="J27" s="811"/>
      <c r="K27" s="812"/>
      <c r="L27" s="817"/>
      <c r="M27" s="818"/>
      <c r="N27" s="818"/>
      <c r="O27" s="818"/>
      <c r="P27" s="818"/>
      <c r="Q27" s="819"/>
      <c r="S27" s="64"/>
      <c r="T27" s="62" t="e">
        <f t="shared" si="1"/>
        <v>#N/A</v>
      </c>
      <c r="U27" s="62" t="e">
        <f t="shared" si="1"/>
        <v>#N/A</v>
      </c>
      <c r="V27" s="62" t="e">
        <f t="shared" si="1"/>
        <v>#N/A</v>
      </c>
      <c r="W27" s="62" t="e">
        <f t="shared" si="1"/>
        <v>#N/A</v>
      </c>
      <c r="X27" s="62" t="e">
        <f t="shared" si="3"/>
        <v>#N/A</v>
      </c>
      <c r="Y27" s="66"/>
      <c r="Z27" s="66"/>
      <c r="AA27" s="66"/>
      <c r="AB27" s="66"/>
      <c r="AC27" s="66"/>
      <c r="AD27" s="66"/>
      <c r="AE27" s="66"/>
      <c r="AF27" s="66"/>
      <c r="AG27" s="66"/>
      <c r="AH27" s="66"/>
      <c r="AI27" s="66"/>
    </row>
    <row r="28" spans="1:35" ht="24" customHeight="1">
      <c r="A28" s="3"/>
      <c r="B28" s="820">
        <f>+'Data Entry'!B138</f>
        <v>0</v>
      </c>
      <c r="C28" s="820"/>
      <c r="D28" s="820"/>
      <c r="E28" s="113">
        <f ca="1">OFFSET('Data Entry'!$G$121,17,RIGHT('Data Entry'!$C$16,LEN('Data Entry'!$C$16)-1),1,1)</f>
        <v>0</v>
      </c>
      <c r="F28" s="113">
        <f ca="1">OFFSET('Data Entry'!$G$121,18,RIGHT('Data Entry'!$C$16,LEN('Data Entry'!$C$16)-1),1,1)</f>
        <v>0</v>
      </c>
      <c r="G28" s="810">
        <f t="shared" si="0"/>
        <v>0</v>
      </c>
      <c r="H28" s="811"/>
      <c r="I28" s="811"/>
      <c r="J28" s="811"/>
      <c r="K28" s="812"/>
      <c r="L28" s="817"/>
      <c r="M28" s="818"/>
      <c r="N28" s="818"/>
      <c r="O28" s="818"/>
      <c r="P28" s="818"/>
      <c r="Q28" s="819"/>
      <c r="S28" s="64"/>
      <c r="T28" s="62" t="e">
        <f t="shared" si="1"/>
        <v>#N/A</v>
      </c>
      <c r="U28" s="62" t="e">
        <f t="shared" si="1"/>
        <v>#N/A</v>
      </c>
      <c r="V28" s="62" t="e">
        <f t="shared" si="1"/>
        <v>#N/A</v>
      </c>
      <c r="W28" s="62" t="e">
        <f t="shared" si="1"/>
        <v>#N/A</v>
      </c>
      <c r="X28" s="62" t="e">
        <f t="shared" si="3"/>
        <v>#N/A</v>
      </c>
      <c r="Y28" s="66"/>
      <c r="Z28" s="66"/>
      <c r="AA28" s="66"/>
      <c r="AB28" s="66"/>
      <c r="AC28" s="66"/>
      <c r="AD28" s="66"/>
      <c r="AE28" s="66"/>
      <c r="AF28" s="66"/>
      <c r="AG28" s="66"/>
      <c r="AH28" s="66"/>
      <c r="AI28" s="66"/>
    </row>
    <row r="29" spans="1:35" ht="29.25" customHeight="1">
      <c r="A29" s="3"/>
      <c r="B29" s="828">
        <f>+'Data Entry'!B140</f>
        <v>0</v>
      </c>
      <c r="C29" s="829"/>
      <c r="D29" s="830"/>
      <c r="E29" s="113">
        <f ca="1">OFFSET('Data Entry'!$G$121,19,RIGHT('Data Entry'!$C$16,LEN('Data Entry'!$C$16)-1),1,1)</f>
        <v>0</v>
      </c>
      <c r="F29" s="113">
        <f ca="1">OFFSET('Data Entry'!$G$121,20,RIGHT('Data Entry'!$C$16,LEN('Data Entry'!$C$16)-1),1,1)</f>
        <v>0</v>
      </c>
      <c r="G29" s="810">
        <f t="shared" si="0"/>
        <v>0</v>
      </c>
      <c r="H29" s="811"/>
      <c r="I29" s="811"/>
      <c r="J29" s="811"/>
      <c r="K29" s="812"/>
      <c r="L29" s="813"/>
      <c r="M29" s="813"/>
      <c r="N29" s="813"/>
      <c r="O29" s="813"/>
      <c r="P29" s="813"/>
      <c r="Q29" s="813"/>
      <c r="S29" s="64"/>
      <c r="T29" s="62" t="e">
        <f t="shared" si="1"/>
        <v>#N/A</v>
      </c>
      <c r="U29" s="62" t="e">
        <f t="shared" si="1"/>
        <v>#N/A</v>
      </c>
      <c r="V29" s="62" t="e">
        <f t="shared" si="1"/>
        <v>#N/A</v>
      </c>
      <c r="W29" s="62" t="e">
        <f t="shared" si="1"/>
        <v>#N/A</v>
      </c>
      <c r="X29" s="62" t="e">
        <f t="shared" si="3"/>
        <v>#N/A</v>
      </c>
      <c r="Y29" s="66"/>
      <c r="Z29" s="66"/>
      <c r="AA29" s="66"/>
      <c r="AB29" s="66"/>
      <c r="AC29" s="66"/>
      <c r="AD29" s="66"/>
      <c r="AE29" s="66"/>
      <c r="AF29" s="66"/>
      <c r="AG29" s="66"/>
      <c r="AH29" s="66"/>
      <c r="AI29" s="66"/>
    </row>
    <row r="30" spans="1:35" ht="22.5" customHeight="1">
      <c r="A30" s="3"/>
      <c r="B30" s="837"/>
      <c r="C30" s="837"/>
      <c r="D30" s="837"/>
      <c r="E30" s="837"/>
      <c r="F30" s="836"/>
      <c r="G30" s="836"/>
      <c r="H30" s="836"/>
      <c r="I30" s="836"/>
      <c r="J30" s="836"/>
      <c r="K30" s="836"/>
      <c r="L30" s="833"/>
      <c r="M30" s="833"/>
      <c r="N30" s="833"/>
      <c r="O30" s="833"/>
      <c r="P30" s="833"/>
      <c r="S30" s="64"/>
      <c r="T30" s="62" t="e">
        <f t="shared" si="1"/>
        <v>#N/A</v>
      </c>
      <c r="U30" s="62" t="e">
        <f t="shared" si="1"/>
        <v>#N/A</v>
      </c>
      <c r="V30" s="62" t="e">
        <f t="shared" si="1"/>
        <v>#N/A</v>
      </c>
      <c r="W30" s="62" t="e">
        <f t="shared" si="1"/>
        <v>#N/A</v>
      </c>
      <c r="X30" s="62" t="e">
        <f t="shared" si="3"/>
        <v>#N/A</v>
      </c>
      <c r="Y30" s="66"/>
      <c r="Z30" s="66"/>
      <c r="AA30" s="66"/>
      <c r="AB30" s="66"/>
      <c r="AC30" s="66"/>
      <c r="AD30" s="66"/>
      <c r="AE30" s="66"/>
      <c r="AF30" s="66"/>
      <c r="AG30" s="66"/>
      <c r="AH30" s="66"/>
      <c r="AI30" s="66"/>
    </row>
    <row r="31" spans="1:35" ht="22.5" customHeight="1">
      <c r="A31" s="3"/>
      <c r="B31" s="834"/>
      <c r="C31" s="834"/>
      <c r="D31" s="834"/>
      <c r="E31" s="835"/>
      <c r="F31" s="831"/>
      <c r="G31" s="832"/>
      <c r="H31" s="832"/>
      <c r="I31" s="832"/>
      <c r="J31" s="832"/>
      <c r="K31" s="835"/>
      <c r="L31" s="831"/>
      <c r="M31" s="832"/>
      <c r="N31" s="832"/>
      <c r="O31" s="832"/>
      <c r="P31" s="832"/>
      <c r="S31" s="64"/>
      <c r="T31" s="62" t="e">
        <f t="shared" si="1"/>
        <v>#N/A</v>
      </c>
      <c r="U31" s="62" t="e">
        <f t="shared" si="1"/>
        <v>#N/A</v>
      </c>
      <c r="V31" s="62" t="e">
        <f t="shared" si="1"/>
        <v>#N/A</v>
      </c>
      <c r="W31" s="62" t="e">
        <f t="shared" si="1"/>
        <v>#N/A</v>
      </c>
      <c r="X31" s="62" t="e">
        <f t="shared" si="3"/>
        <v>#N/A</v>
      </c>
      <c r="Y31" s="66"/>
      <c r="Z31" s="66"/>
      <c r="AA31" s="66"/>
      <c r="AB31" s="66"/>
      <c r="AC31" s="66"/>
      <c r="AD31" s="66"/>
      <c r="AE31" s="66"/>
      <c r="AF31" s="66"/>
      <c r="AG31" s="66"/>
      <c r="AH31" s="66"/>
      <c r="AI31" s="66"/>
    </row>
    <row r="32" spans="1:35" ht="15">
      <c r="A32" s="3"/>
      <c r="B32" s="190"/>
      <c r="C32" s="190"/>
      <c r="D32" s="190"/>
      <c r="E32" s="190"/>
      <c r="F32" s="190"/>
      <c r="G32" s="190"/>
      <c r="H32" s="191"/>
      <c r="I32" s="190"/>
      <c r="J32" s="190"/>
      <c r="K32" s="190"/>
      <c r="L32" s="190"/>
      <c r="M32" s="190"/>
      <c r="N32" s="190"/>
      <c r="O32" s="190"/>
      <c r="P32" s="190"/>
      <c r="S32" s="64"/>
      <c r="T32" s="62" t="e">
        <f t="shared" si="1"/>
        <v>#N/A</v>
      </c>
      <c r="U32" s="62" t="e">
        <f t="shared" si="1"/>
        <v>#N/A</v>
      </c>
      <c r="V32" s="62" t="e">
        <f t="shared" si="1"/>
        <v>#N/A</v>
      </c>
      <c r="W32" s="62" t="e">
        <f t="shared" si="1"/>
        <v>#N/A</v>
      </c>
      <c r="X32" s="62" t="e">
        <f t="shared" si="3"/>
        <v>#N/A</v>
      </c>
      <c r="Y32" s="66"/>
      <c r="Z32" s="66"/>
      <c r="AA32" s="66"/>
      <c r="AB32" s="66"/>
      <c r="AC32" s="66"/>
      <c r="AD32" s="66"/>
      <c r="AE32" s="66"/>
      <c r="AF32" s="66"/>
      <c r="AG32" s="66"/>
      <c r="AH32" s="66"/>
      <c r="AI32" s="66"/>
    </row>
    <row r="33" spans="1:35" ht="15">
      <c r="A33" s="3"/>
      <c r="B33" s="827"/>
      <c r="C33" s="827"/>
      <c r="D33" s="827"/>
      <c r="E33" s="827"/>
      <c r="F33" s="827"/>
      <c r="G33" s="827"/>
      <c r="H33" s="827"/>
      <c r="I33" s="827"/>
      <c r="J33" s="827"/>
      <c r="K33" s="827"/>
      <c r="L33" s="190"/>
      <c r="M33" s="190"/>
      <c r="N33" s="190"/>
      <c r="O33" s="190"/>
      <c r="P33" s="190"/>
      <c r="S33" s="64"/>
      <c r="T33" s="62" t="e">
        <f t="shared" si="1"/>
        <v>#N/A</v>
      </c>
      <c r="U33" s="62" t="e">
        <f t="shared" si="1"/>
        <v>#N/A</v>
      </c>
      <c r="V33" s="62" t="e">
        <f t="shared" si="1"/>
        <v>#N/A</v>
      </c>
      <c r="W33" s="62" t="e">
        <f t="shared" si="1"/>
        <v>#N/A</v>
      </c>
      <c r="X33" s="62" t="e">
        <f t="shared" si="3"/>
        <v>#N/A</v>
      </c>
      <c r="Y33" s="66"/>
      <c r="Z33" s="66"/>
      <c r="AA33" s="66"/>
      <c r="AB33" s="66"/>
      <c r="AC33" s="66"/>
      <c r="AD33" s="66"/>
      <c r="AE33" s="66"/>
      <c r="AF33" s="66"/>
      <c r="AG33" s="66"/>
      <c r="AH33" s="66"/>
      <c r="AI33" s="66"/>
    </row>
    <row r="34" spans="1:35" ht="15">
      <c r="A34" s="3"/>
      <c r="B34" s="827"/>
      <c r="C34" s="827"/>
      <c r="D34" s="827"/>
      <c r="E34" s="827"/>
      <c r="F34" s="827"/>
      <c r="G34" s="827"/>
      <c r="H34" s="827"/>
      <c r="I34" s="827"/>
      <c r="J34" s="827"/>
      <c r="K34" s="827"/>
      <c r="L34" s="190"/>
      <c r="M34" s="190"/>
      <c r="N34" s="190"/>
      <c r="O34" s="190"/>
      <c r="P34" s="190"/>
      <c r="S34" s="66"/>
      <c r="T34" s="66"/>
      <c r="U34" s="66"/>
      <c r="V34" s="66"/>
      <c r="W34" s="66"/>
      <c r="X34" s="66"/>
      <c r="Y34" s="66"/>
      <c r="Z34" s="66"/>
      <c r="AA34" s="66"/>
      <c r="AB34" s="66"/>
      <c r="AC34" s="66"/>
      <c r="AD34" s="66"/>
      <c r="AE34" s="66"/>
      <c r="AF34" s="66"/>
      <c r="AG34" s="66"/>
      <c r="AH34" s="66"/>
      <c r="AI34" s="66"/>
    </row>
    <row r="35" spans="1:35" ht="15">
      <c r="A35" s="3"/>
      <c r="B35" s="3"/>
      <c r="C35" s="3"/>
      <c r="D35" s="3"/>
      <c r="E35" s="3"/>
      <c r="F35" s="3"/>
      <c r="G35" s="3"/>
      <c r="H35" s="3"/>
      <c r="I35" s="87"/>
      <c r="J35" s="87"/>
      <c r="K35" s="87"/>
      <c r="L35" s="3"/>
      <c r="M35" s="3"/>
      <c r="N35" s="3"/>
      <c r="O35" s="3"/>
      <c r="P35" s="3"/>
      <c r="S35" s="66"/>
      <c r="T35" s="66"/>
      <c r="U35" s="66"/>
      <c r="V35" s="66"/>
      <c r="W35" s="66"/>
      <c r="X35" s="66"/>
      <c r="Y35" s="66"/>
      <c r="Z35" s="66"/>
      <c r="AA35" s="66"/>
      <c r="AB35" s="66"/>
      <c r="AC35" s="66"/>
      <c r="AD35" s="66"/>
      <c r="AE35" s="66"/>
      <c r="AF35" s="66"/>
      <c r="AG35" s="66"/>
      <c r="AH35" s="66"/>
      <c r="AI35" s="66"/>
    </row>
    <row r="36" spans="1:35" ht="15">
      <c r="A36" s="3"/>
      <c r="B36" s="3"/>
      <c r="C36" s="3"/>
      <c r="D36" s="3"/>
      <c r="E36" s="3"/>
      <c r="F36" s="3"/>
      <c r="G36" s="3"/>
      <c r="H36" s="3"/>
      <c r="I36" s="114"/>
      <c r="J36" s="115"/>
      <c r="K36" s="115"/>
      <c r="L36" s="3"/>
      <c r="M36" s="3"/>
      <c r="N36" s="3"/>
      <c r="O36" s="3"/>
      <c r="P36" s="3"/>
      <c r="S36" s="66"/>
      <c r="T36" s="66"/>
      <c r="U36" s="66"/>
      <c r="V36" s="66"/>
      <c r="W36" s="66"/>
      <c r="X36" s="66"/>
      <c r="Y36" s="66"/>
      <c r="Z36" s="66"/>
      <c r="AA36" s="66"/>
      <c r="AB36" s="66"/>
      <c r="AC36" s="66"/>
      <c r="AD36" s="66"/>
      <c r="AE36" s="66"/>
      <c r="AF36" s="66"/>
      <c r="AG36" s="66"/>
      <c r="AH36" s="66"/>
      <c r="AI36" s="66"/>
    </row>
    <row r="37" spans="1:35" ht="15">
      <c r="A37" s="3"/>
      <c r="B37" s="3"/>
      <c r="C37" s="3"/>
      <c r="D37" s="3"/>
      <c r="E37" s="3"/>
      <c r="F37" s="3"/>
      <c r="G37" s="3"/>
      <c r="H37" s="3"/>
      <c r="I37" s="116"/>
      <c r="J37" s="117"/>
      <c r="K37" s="88"/>
      <c r="L37" s="3"/>
      <c r="M37" s="3"/>
      <c r="N37" s="3"/>
      <c r="O37" s="3"/>
      <c r="P37" s="3"/>
      <c r="S37" s="66"/>
      <c r="T37" s="66"/>
      <c r="U37" s="66"/>
      <c r="V37" s="66"/>
      <c r="W37" s="66"/>
      <c r="X37" s="66"/>
      <c r="Y37" s="66"/>
      <c r="Z37" s="66"/>
      <c r="AA37" s="66"/>
      <c r="AB37" s="66"/>
      <c r="AC37" s="66"/>
      <c r="AD37" s="66"/>
      <c r="AE37" s="66"/>
      <c r="AF37" s="66"/>
      <c r="AG37" s="66"/>
      <c r="AH37" s="66"/>
      <c r="AI37" s="66"/>
    </row>
    <row r="38" spans="1:35" ht="15">
      <c r="A38" s="3"/>
      <c r="B38" s="3"/>
      <c r="C38" s="3"/>
      <c r="D38" s="3"/>
      <c r="E38" s="3"/>
      <c r="F38" s="3"/>
      <c r="G38" s="3"/>
      <c r="H38" s="3"/>
      <c r="I38" s="118"/>
      <c r="J38" s="117"/>
      <c r="K38" s="88"/>
      <c r="L38" s="3"/>
      <c r="M38" s="3"/>
      <c r="N38" s="3"/>
      <c r="O38" s="3"/>
      <c r="P38" s="3"/>
      <c r="S38" s="66"/>
      <c r="T38" s="66"/>
      <c r="U38" s="66"/>
      <c r="V38" s="66"/>
      <c r="W38" s="66"/>
      <c r="X38" s="66"/>
      <c r="Y38" s="66"/>
      <c r="Z38" s="66"/>
      <c r="AA38" s="66"/>
      <c r="AB38" s="66"/>
      <c r="AC38" s="66"/>
      <c r="AD38" s="66"/>
      <c r="AE38" s="66"/>
      <c r="AF38" s="66"/>
      <c r="AG38" s="66"/>
      <c r="AH38" s="66"/>
      <c r="AI38" s="66"/>
    </row>
    <row r="39" spans="1:35" ht="15">
      <c r="A39" s="3"/>
      <c r="B39" s="3"/>
      <c r="C39" s="3"/>
      <c r="D39" s="3"/>
      <c r="E39" s="3"/>
      <c r="F39" s="3"/>
      <c r="G39" s="3"/>
      <c r="H39" s="3"/>
      <c r="I39" s="116"/>
      <c r="J39" s="117"/>
      <c r="K39" s="88"/>
      <c r="L39" s="3"/>
      <c r="M39" s="3"/>
      <c r="N39" s="3"/>
      <c r="O39" s="3"/>
      <c r="P39" s="3"/>
      <c r="S39" s="66"/>
      <c r="T39" s="66"/>
      <c r="U39" s="66"/>
      <c r="V39" s="66"/>
      <c r="W39" s="66"/>
      <c r="X39" s="66"/>
      <c r="Y39" s="66"/>
      <c r="Z39" s="66"/>
      <c r="AA39" s="66"/>
      <c r="AB39" s="66"/>
      <c r="AC39" s="66"/>
      <c r="AD39" s="66"/>
      <c r="AE39" s="66"/>
      <c r="AF39" s="66"/>
      <c r="AG39" s="66"/>
      <c r="AH39" s="66"/>
      <c r="AI39" s="66"/>
    </row>
    <row r="40" spans="1:35" ht="15">
      <c r="A40" s="3"/>
      <c r="B40" s="3"/>
      <c r="C40" s="3"/>
      <c r="D40" s="3"/>
      <c r="E40" s="3"/>
      <c r="F40" s="3"/>
      <c r="G40" s="3"/>
      <c r="H40" s="3"/>
      <c r="I40" s="3"/>
      <c r="J40" s="3"/>
      <c r="K40" s="3"/>
      <c r="L40" s="3"/>
      <c r="M40" s="3"/>
      <c r="N40" s="3"/>
      <c r="O40" s="3"/>
      <c r="P40" s="3"/>
      <c r="S40" s="66"/>
      <c r="T40" s="66"/>
      <c r="U40" s="66"/>
      <c r="V40" s="66"/>
      <c r="W40" s="66"/>
      <c r="X40" s="66"/>
      <c r="Y40" s="66"/>
      <c r="Z40" s="66"/>
      <c r="AA40" s="66"/>
      <c r="AB40" s="66"/>
      <c r="AC40" s="66"/>
      <c r="AD40" s="66"/>
      <c r="AE40" s="66"/>
      <c r="AF40" s="66"/>
      <c r="AG40" s="66"/>
      <c r="AH40" s="66"/>
      <c r="AI40" s="66"/>
    </row>
    <row r="41" spans="1:35" ht="15">
      <c r="A41" s="3"/>
      <c r="B41" s="3"/>
      <c r="C41" s="3"/>
      <c r="D41" s="3"/>
      <c r="E41" s="3"/>
      <c r="F41" s="3"/>
      <c r="G41" s="3"/>
      <c r="H41" s="3"/>
      <c r="I41" s="3"/>
      <c r="J41" s="3"/>
      <c r="K41" s="3"/>
      <c r="L41" s="3"/>
      <c r="M41" s="3"/>
      <c r="N41" s="3"/>
      <c r="O41" s="3"/>
      <c r="P41" s="3"/>
      <c r="S41" s="66"/>
      <c r="T41" s="66"/>
      <c r="U41" s="66"/>
      <c r="V41" s="66"/>
      <c r="W41" s="66"/>
      <c r="X41" s="66"/>
      <c r="Y41" s="66"/>
      <c r="Z41" s="66"/>
      <c r="AA41" s="66"/>
      <c r="AB41" s="66"/>
      <c r="AC41" s="66"/>
      <c r="AD41" s="66"/>
      <c r="AE41" s="66"/>
      <c r="AF41" s="66"/>
      <c r="AG41" s="66"/>
      <c r="AH41" s="66"/>
      <c r="AI41" s="66"/>
    </row>
    <row r="42" spans="1:28" ht="15">
      <c r="A42" s="3"/>
      <c r="B42" s="3"/>
      <c r="C42" s="3"/>
      <c r="D42" s="3"/>
      <c r="E42" s="3"/>
      <c r="F42" s="3"/>
      <c r="G42" s="3"/>
      <c r="H42" s="3"/>
      <c r="I42" s="3"/>
      <c r="J42" s="3"/>
      <c r="K42" s="3"/>
      <c r="L42" s="3"/>
      <c r="M42" s="3"/>
      <c r="N42" s="3"/>
      <c r="O42" s="3"/>
      <c r="P42" s="3"/>
      <c r="S42" s="59"/>
      <c r="T42" s="59"/>
      <c r="U42" s="59"/>
      <c r="V42" s="59"/>
      <c r="W42" s="59"/>
      <c r="X42" s="59"/>
      <c r="Y42" s="59"/>
      <c r="Z42" s="59"/>
      <c r="AA42" s="59"/>
      <c r="AB42" s="59"/>
    </row>
    <row r="43" spans="19:28" ht="15">
      <c r="S43" s="59"/>
      <c r="T43" s="59"/>
      <c r="U43" s="59"/>
      <c r="V43" s="59"/>
      <c r="W43" s="59"/>
      <c r="X43" s="59"/>
      <c r="Y43" s="59"/>
      <c r="Z43" s="59"/>
      <c r="AA43" s="59"/>
      <c r="AB43" s="59"/>
    </row>
    <row r="44" spans="19:28" ht="15">
      <c r="S44" s="59"/>
      <c r="T44" s="59"/>
      <c r="U44" s="59"/>
      <c r="V44" s="59"/>
      <c r="W44" s="59"/>
      <c r="X44" s="59"/>
      <c r="Y44" s="59"/>
      <c r="Z44" s="59"/>
      <c r="AA44" s="59"/>
      <c r="AB44" s="59"/>
    </row>
    <row r="45" spans="19:28" ht="15">
      <c r="S45" s="59"/>
      <c r="T45" s="59"/>
      <c r="U45" s="59"/>
      <c r="V45" s="59"/>
      <c r="W45" s="59"/>
      <c r="X45" s="59"/>
      <c r="Y45" s="59"/>
      <c r="Z45" s="59"/>
      <c r="AA45" s="59"/>
      <c r="AB45" s="59"/>
    </row>
    <row r="46" spans="19:28" ht="15">
      <c r="S46" s="59"/>
      <c r="T46" s="59"/>
      <c r="U46" s="59"/>
      <c r="V46" s="59"/>
      <c r="W46" s="59"/>
      <c r="X46" s="59"/>
      <c r="Y46" s="59"/>
      <c r="Z46" s="59"/>
      <c r="AA46" s="59"/>
      <c r="AB46" s="59"/>
    </row>
  </sheetData>
  <sheetProtection/>
  <mergeCells count="58">
    <mergeCell ref="C9:E9"/>
    <mergeCell ref="G9:K9"/>
    <mergeCell ref="M9:Q9"/>
    <mergeCell ref="C3:D3"/>
    <mergeCell ref="E4:L4"/>
    <mergeCell ref="B8:E8"/>
    <mergeCell ref="F8:K8"/>
    <mergeCell ref="B31:E31"/>
    <mergeCell ref="F31:K31"/>
    <mergeCell ref="B21:D21"/>
    <mergeCell ref="G28:K28"/>
    <mergeCell ref="G29:K29"/>
    <mergeCell ref="F30:K30"/>
    <mergeCell ref="B30:E30"/>
    <mergeCell ref="B27:D27"/>
    <mergeCell ref="B28:D28"/>
    <mergeCell ref="B29:D29"/>
    <mergeCell ref="L31:P31"/>
    <mergeCell ref="L20:Q20"/>
    <mergeCell ref="L21:Q21"/>
    <mergeCell ref="L22:Q22"/>
    <mergeCell ref="L28:Q28"/>
    <mergeCell ref="L30:P30"/>
    <mergeCell ref="L23:Q23"/>
    <mergeCell ref="L24:Q24"/>
    <mergeCell ref="B33:D34"/>
    <mergeCell ref="E33:G34"/>
    <mergeCell ref="H33:K34"/>
    <mergeCell ref="B23:D23"/>
    <mergeCell ref="B24:D24"/>
    <mergeCell ref="B25:D25"/>
    <mergeCell ref="B26:D26"/>
    <mergeCell ref="G23:K23"/>
    <mergeCell ref="G24:K24"/>
    <mergeCell ref="G25:K25"/>
    <mergeCell ref="B22:D22"/>
    <mergeCell ref="G19:H19"/>
    <mergeCell ref="I19:J19"/>
    <mergeCell ref="E18:K18"/>
    <mergeCell ref="B19:D19"/>
    <mergeCell ref="B20:D20"/>
    <mergeCell ref="G26:K26"/>
    <mergeCell ref="G27:K27"/>
    <mergeCell ref="L29:Q29"/>
    <mergeCell ref="L19:Q19"/>
    <mergeCell ref="L25:Q25"/>
    <mergeCell ref="L26:Q26"/>
    <mergeCell ref="L27:Q27"/>
    <mergeCell ref="G20:K20"/>
    <mergeCell ref="G21:K21"/>
    <mergeCell ref="G22:K22"/>
    <mergeCell ref="B2:Q2"/>
    <mergeCell ref="O3:P3"/>
    <mergeCell ref="D5:N5"/>
    <mergeCell ref="L8:Q8"/>
    <mergeCell ref="F6:K6"/>
    <mergeCell ref="E3:K3"/>
    <mergeCell ref="C4:D4"/>
  </mergeCells>
  <conditionalFormatting sqref="C4:D4">
    <cfRule type="cellIs" priority="50" dxfId="57" operator="equal" stopIfTrue="1">
      <formula>"C"</formula>
    </cfRule>
    <cfRule type="cellIs" priority="51" dxfId="54" operator="equal" stopIfTrue="1">
      <formula>"B2"</formula>
    </cfRule>
    <cfRule type="cellIs" priority="52" dxfId="55" operator="equal" stopIfTrue="1">
      <formula>"B1"</formula>
    </cfRule>
  </conditionalFormatting>
  <conditionalFormatting sqref="G20:G27">
    <cfRule type="cellIs" priority="56" dxfId="63" operator="between" stopIfTrue="1">
      <formula>0</formula>
      <formula>0.599</formula>
    </cfRule>
    <cfRule type="cellIs" priority="57" dxfId="62" operator="between" stopIfTrue="1">
      <formula>0.6</formula>
      <formula>0.899</formula>
    </cfRule>
    <cfRule type="cellIs" priority="58" dxfId="64" operator="greaterThanOrEqual" stopIfTrue="1">
      <formula>0.9</formula>
    </cfRule>
  </conditionalFormatting>
  <conditionalFormatting sqref="G28:K29">
    <cfRule type="cellIs" priority="65" dxfId="63" operator="between" stopIfTrue="1">
      <formula>0.0001</formula>
      <formula>0.599</formula>
    </cfRule>
    <cfRule type="cellIs" priority="66" dxfId="62" operator="between" stopIfTrue="1">
      <formula>0.6</formula>
      <formula>0.899</formula>
    </cfRule>
    <cfRule type="cellIs" priority="67" dxfId="64"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8"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PageLayoutView="0" workbookViewId="0" topLeftCell="A41">
      <pane ySplit="1380" topLeftCell="A23" activePane="bottomLeft" state="split"/>
      <selection pane="topLeft" activeCell="S16" sqref="S16"/>
      <selection pane="bottomLeft" activeCell="D32" sqref="D32:G32"/>
    </sheetView>
  </sheetViews>
  <sheetFormatPr defaultColWidth="9.140625" defaultRowHeight="15"/>
  <cols>
    <col min="1" max="1" width="1.1484375" style="30" customWidth="1"/>
    <col min="2" max="2" width="19.28125" style="30" customWidth="1"/>
    <col min="3" max="3" width="1.1484375" style="30" customWidth="1"/>
    <col min="4" max="4" width="17.140625" style="30" customWidth="1"/>
    <col min="5" max="5" width="17.57421875" style="30" customWidth="1"/>
    <col min="6" max="6" width="9.7109375" style="30" customWidth="1"/>
    <col min="7" max="7" width="13.00390625" style="30" customWidth="1"/>
    <col min="8" max="8" width="4.28125" style="30" customWidth="1"/>
    <col min="9" max="9" width="15.8515625" style="30" customWidth="1"/>
    <col min="10" max="10" width="3.57421875" style="30" customWidth="1"/>
    <col min="11" max="11" width="7.57421875" style="31" customWidth="1"/>
    <col min="12" max="12" width="14.28125" style="30" customWidth="1"/>
    <col min="13" max="13" width="12.00390625" style="30" customWidth="1"/>
    <col min="14" max="14" width="5.421875" style="30" customWidth="1"/>
    <col min="15" max="15" width="2.57421875" style="30" customWidth="1"/>
    <col min="16" max="16384" width="9.140625" style="30" customWidth="1"/>
  </cols>
  <sheetData>
    <row r="1" spans="1:14" ht="38.25" customHeight="1">
      <c r="A1" s="119"/>
      <c r="B1" s="119"/>
      <c r="C1" s="119"/>
      <c r="D1" s="119"/>
      <c r="E1" s="119"/>
      <c r="F1" s="119"/>
      <c r="G1" s="119"/>
      <c r="H1" s="119"/>
      <c r="I1" s="119"/>
      <c r="J1" s="119"/>
      <c r="K1" s="120"/>
      <c r="L1" s="119"/>
      <c r="M1" s="119"/>
      <c r="N1" s="119"/>
    </row>
    <row r="2" spans="1:15" ht="27.75" customHeight="1">
      <c r="A2" s="3"/>
      <c r="B2" s="803" t="str">
        <f>'Grant Detail'!B3:J3</f>
        <v>Dashboard:  Ghana - HIV / AIDS  (MoH)</v>
      </c>
      <c r="C2" s="803"/>
      <c r="D2" s="803"/>
      <c r="E2" s="803"/>
      <c r="F2" s="803"/>
      <c r="G2" s="803"/>
      <c r="H2" s="803"/>
      <c r="I2" s="803"/>
      <c r="J2" s="803"/>
      <c r="K2" s="803"/>
      <c r="L2" s="803"/>
      <c r="M2" s="803"/>
      <c r="N2" s="803"/>
      <c r="O2" s="68"/>
    </row>
    <row r="3" spans="1:14" ht="18.75">
      <c r="A3" s="3"/>
      <c r="B3" s="101" t="str">
        <f>+IF('Data Entry'!G8="Please Select","",'Data Entry'!G8)</f>
        <v>NFM</v>
      </c>
      <c r="C3" s="775">
        <f>+IF('Data Entry'!I8="Please Select","",'Data Entry'!I8)</f>
        <v>0</v>
      </c>
      <c r="D3" s="775"/>
      <c r="E3" s="808"/>
      <c r="F3" s="808"/>
      <c r="G3" s="808"/>
      <c r="H3" s="808"/>
      <c r="I3" s="808"/>
      <c r="J3" s="808"/>
      <c r="K3" s="808"/>
      <c r="L3" s="101" t="str">
        <f>+'Data Entry'!B16</f>
        <v>Report Period:</v>
      </c>
      <c r="M3" s="167" t="str">
        <f>+'Data Entry'!C16</f>
        <v>P1</v>
      </c>
      <c r="N3" s="167"/>
    </row>
    <row r="4" spans="1:14" ht="15">
      <c r="A4" s="3"/>
      <c r="B4" s="101" t="str">
        <f>+'Data Entry'!B12</f>
        <v>Latest Rating:</v>
      </c>
      <c r="C4" s="809">
        <f>+IF('Data Entry'!C12="Please Select","",'Data Entry'!C12)</f>
        <v>0</v>
      </c>
      <c r="D4" s="809"/>
      <c r="E4" s="774" t="str">
        <f>+'Data Entry'!C8</f>
        <v>MOH</v>
      </c>
      <c r="F4" s="774"/>
      <c r="G4" s="774"/>
      <c r="H4" s="774"/>
      <c r="I4" s="774"/>
      <c r="J4" s="774"/>
      <c r="K4" s="774"/>
      <c r="L4" s="101" t="str">
        <f>+'Data Entry'!D16</f>
        <v>From:</v>
      </c>
      <c r="M4" s="168">
        <f>+IF(ISBLANK('Data Entry'!E16),"",'Data Entry'!E16)</f>
        <v>42186</v>
      </c>
      <c r="N4" s="168"/>
    </row>
    <row r="5" spans="1:14" ht="18.75" customHeight="1">
      <c r="A5" s="3"/>
      <c r="B5" s="101"/>
      <c r="C5" s="101"/>
      <c r="D5" s="102"/>
      <c r="E5" s="774" t="str">
        <f>+'Data Entry'!G4</f>
        <v>Accelerating Access to Prevention, Treatment, Care &amp; Support for HIV/AIDS</v>
      </c>
      <c r="F5" s="774"/>
      <c r="G5" s="774"/>
      <c r="H5" s="774"/>
      <c r="I5" s="774"/>
      <c r="J5" s="774"/>
      <c r="K5" s="774"/>
      <c r="L5" s="101" t="str">
        <f>+'Data Entry'!F16</f>
        <v>To:</v>
      </c>
      <c r="M5" s="168">
        <f>+IF(ISBLANK('Data Entry'!G16),"",'Data Entry'!G16)</f>
        <v>42277</v>
      </c>
      <c r="N5" s="168"/>
    </row>
    <row r="6" spans="1:14" ht="22.5" customHeight="1">
      <c r="A6" s="3"/>
      <c r="B6" s="106"/>
      <c r="C6" s="107"/>
      <c r="D6" s="108"/>
      <c r="E6" s="871" t="s">
        <v>320</v>
      </c>
      <c r="F6" s="871"/>
      <c r="G6" s="871"/>
      <c r="H6" s="871"/>
      <c r="I6" s="871"/>
      <c r="J6" s="871"/>
      <c r="K6" s="871"/>
      <c r="L6" s="2"/>
      <c r="M6" s="2"/>
      <c r="N6" s="2"/>
    </row>
    <row r="7" spans="1:14" s="32" customFormat="1" ht="4.5" customHeight="1">
      <c r="A7" s="121"/>
      <c r="B7" s="122"/>
      <c r="C7" s="122"/>
      <c r="D7" s="122"/>
      <c r="E7" s="122"/>
      <c r="F7" s="122"/>
      <c r="G7" s="122"/>
      <c r="H7" s="122"/>
      <c r="I7" s="122"/>
      <c r="J7" s="122"/>
      <c r="K7" s="122"/>
      <c r="L7" s="123"/>
      <c r="M7" s="123"/>
      <c r="N7" s="124"/>
    </row>
    <row r="8" spans="1:14" s="32" customFormat="1" ht="21" customHeight="1" thickBot="1">
      <c r="A8" s="121"/>
      <c r="B8" s="849" t="s">
        <v>106</v>
      </c>
      <c r="C8" s="849"/>
      <c r="D8" s="849"/>
      <c r="E8" s="849"/>
      <c r="F8" s="849"/>
      <c r="G8" s="849"/>
      <c r="H8" s="849"/>
      <c r="I8" s="849"/>
      <c r="J8" s="849"/>
      <c r="K8" s="849"/>
      <c r="L8" s="849"/>
      <c r="M8" s="849"/>
      <c r="N8" s="849"/>
    </row>
    <row r="9" spans="1:14" s="32" customFormat="1" ht="3.75" customHeight="1" thickBot="1">
      <c r="A9" s="121"/>
      <c r="B9" s="122"/>
      <c r="C9" s="122"/>
      <c r="D9" s="122"/>
      <c r="E9" s="122"/>
      <c r="F9" s="122"/>
      <c r="G9" s="122"/>
      <c r="H9" s="122"/>
      <c r="I9" s="122"/>
      <c r="J9" s="122"/>
      <c r="K9" s="122"/>
      <c r="L9" s="123"/>
      <c r="M9" s="123"/>
      <c r="N9" s="124"/>
    </row>
    <row r="10" spans="1:14" s="33" customFormat="1" ht="25.5" customHeight="1" thickBot="1">
      <c r="A10" s="125"/>
      <c r="B10" s="870" t="s">
        <v>101</v>
      </c>
      <c r="C10" s="862"/>
      <c r="D10" s="850" t="s">
        <v>105</v>
      </c>
      <c r="E10" s="851"/>
      <c r="F10" s="851"/>
      <c r="G10" s="852"/>
      <c r="H10" s="128"/>
      <c r="I10" s="850" t="s">
        <v>320</v>
      </c>
      <c r="J10" s="851"/>
      <c r="K10" s="851"/>
      <c r="L10" s="851"/>
      <c r="M10" s="851"/>
      <c r="N10" s="852"/>
    </row>
    <row r="11" spans="1:14" s="33" customFormat="1" ht="28.5" customHeight="1">
      <c r="A11" s="125"/>
      <c r="B11" s="270" t="s">
        <v>109</v>
      </c>
      <c r="C11" s="145"/>
      <c r="D11" s="874">
        <f>IF(ISBLANK(Finance!C9),"",(Finance!C9))</f>
      </c>
      <c r="E11" s="874"/>
      <c r="F11" s="874"/>
      <c r="G11" s="875"/>
      <c r="H11" s="151"/>
      <c r="I11" s="876"/>
      <c r="J11" s="877"/>
      <c r="K11" s="877"/>
      <c r="L11" s="877"/>
      <c r="M11" s="877"/>
      <c r="N11" s="878"/>
    </row>
    <row r="12" spans="1:14" s="33" customFormat="1" ht="27.75" customHeight="1">
      <c r="A12" s="125"/>
      <c r="B12" s="271" t="s">
        <v>110</v>
      </c>
      <c r="C12" s="146"/>
      <c r="D12" s="874">
        <f>IF(ISBLANK(Finance!C23),"",(Finance!C23))</f>
      </c>
      <c r="E12" s="874"/>
      <c r="F12" s="874"/>
      <c r="G12" s="875"/>
      <c r="H12" s="151"/>
      <c r="I12" s="864"/>
      <c r="J12" s="865"/>
      <c r="K12" s="865"/>
      <c r="L12" s="865"/>
      <c r="M12" s="865"/>
      <c r="N12" s="866"/>
    </row>
    <row r="13" spans="1:14" s="33" customFormat="1" ht="26.25" customHeight="1">
      <c r="A13" s="125"/>
      <c r="B13" s="271" t="s">
        <v>111</v>
      </c>
      <c r="C13" s="146"/>
      <c r="D13" s="874">
        <f>IF(ISBLANK(Finance!I9),"",(Finance!I9))</f>
      </c>
      <c r="E13" s="874"/>
      <c r="F13" s="874"/>
      <c r="G13" s="875"/>
      <c r="H13" s="151"/>
      <c r="I13" s="864"/>
      <c r="J13" s="865"/>
      <c r="K13" s="865"/>
      <c r="L13" s="865"/>
      <c r="M13" s="865"/>
      <c r="N13" s="866"/>
    </row>
    <row r="14" spans="1:14" s="33" customFormat="1" ht="28.5" customHeight="1" thickBot="1">
      <c r="A14" s="125"/>
      <c r="B14" s="272" t="s">
        <v>112</v>
      </c>
      <c r="C14" s="147"/>
      <c r="D14" s="872">
        <f>IF(ISBLANK(Finance!I23),"",(Finance!I23))</f>
      </c>
      <c r="E14" s="872"/>
      <c r="F14" s="872"/>
      <c r="G14" s="873"/>
      <c r="H14" s="151"/>
      <c r="I14" s="867"/>
      <c r="J14" s="868"/>
      <c r="K14" s="868"/>
      <c r="L14" s="868"/>
      <c r="M14" s="868"/>
      <c r="N14" s="869"/>
    </row>
    <row r="15" spans="1:15" s="33" customFormat="1" ht="4.5" customHeight="1">
      <c r="A15" s="125"/>
      <c r="B15" s="148"/>
      <c r="C15" s="149"/>
      <c r="D15" s="150"/>
      <c r="E15" s="150"/>
      <c r="F15" s="150"/>
      <c r="G15" s="150"/>
      <c r="H15" s="151"/>
      <c r="I15" s="152"/>
      <c r="J15" s="152"/>
      <c r="K15" s="152"/>
      <c r="L15" s="152"/>
      <c r="M15" s="152"/>
      <c r="N15" s="152"/>
      <c r="O15" s="70"/>
    </row>
    <row r="16" spans="1:14" s="32" customFormat="1" ht="21" customHeight="1" thickBot="1">
      <c r="A16" s="121"/>
      <c r="B16" s="849" t="s">
        <v>108</v>
      </c>
      <c r="C16" s="849"/>
      <c r="D16" s="849"/>
      <c r="E16" s="849"/>
      <c r="F16" s="849"/>
      <c r="G16" s="849"/>
      <c r="H16" s="849"/>
      <c r="I16" s="849"/>
      <c r="J16" s="849"/>
      <c r="K16" s="849"/>
      <c r="L16" s="849"/>
      <c r="M16" s="849"/>
      <c r="N16" s="849"/>
    </row>
    <row r="17" spans="1:14" s="33" customFormat="1" ht="3.75" customHeight="1" thickBot="1">
      <c r="A17" s="125"/>
      <c r="B17" s="134"/>
      <c r="C17" s="135"/>
      <c r="D17" s="136"/>
      <c r="E17" s="137"/>
      <c r="F17" s="138"/>
      <c r="G17" s="138"/>
      <c r="H17" s="139"/>
      <c r="I17" s="140"/>
      <c r="J17" s="141"/>
      <c r="K17" s="130"/>
      <c r="L17" s="131"/>
      <c r="M17" s="132"/>
      <c r="N17" s="133"/>
    </row>
    <row r="18" spans="1:14" s="33" customFormat="1" ht="22.5" customHeight="1" thickBot="1">
      <c r="A18" s="125"/>
      <c r="B18" s="862" t="s">
        <v>102</v>
      </c>
      <c r="C18" s="863"/>
      <c r="D18" s="889" t="s">
        <v>105</v>
      </c>
      <c r="E18" s="890"/>
      <c r="F18" s="890"/>
      <c r="G18" s="891"/>
      <c r="H18" s="128"/>
      <c r="I18" s="886" t="s">
        <v>320</v>
      </c>
      <c r="J18" s="887"/>
      <c r="K18" s="887"/>
      <c r="L18" s="887"/>
      <c r="M18" s="888"/>
      <c r="N18" s="888"/>
    </row>
    <row r="19" spans="1:14" s="33" customFormat="1" ht="21.75" customHeight="1">
      <c r="A19" s="125"/>
      <c r="B19" s="273" t="s">
        <v>117</v>
      </c>
      <c r="C19" s="153"/>
      <c r="D19" s="892">
        <f>IF(ISBLANK(Management!C8),"",(Management!C8))</f>
      </c>
      <c r="E19" s="892"/>
      <c r="F19" s="892"/>
      <c r="G19" s="893"/>
      <c r="H19" s="154"/>
      <c r="I19" s="853"/>
      <c r="J19" s="854"/>
      <c r="K19" s="854"/>
      <c r="L19" s="854"/>
      <c r="M19" s="854"/>
      <c r="N19" s="855"/>
    </row>
    <row r="20" spans="1:15" ht="24.75" customHeight="1">
      <c r="A20" s="119"/>
      <c r="B20" s="274" t="s">
        <v>118</v>
      </c>
      <c r="C20" s="155"/>
      <c r="D20" s="874" t="str">
        <f>IF(ISBLANK(Management!I8),"",(Management!I8))</f>
        <v>No info on key management positions.</v>
      </c>
      <c r="E20" s="874">
        <f>+'Data Entry'!D77/'Data Entry'!G77</f>
        <v>1</v>
      </c>
      <c r="F20" s="874">
        <f>+('Data Entry'!E77+'Data Entry'!F77)/'Data Entry'!G77</f>
        <v>0</v>
      </c>
      <c r="G20" s="885"/>
      <c r="H20" s="154"/>
      <c r="I20" s="859"/>
      <c r="J20" s="860"/>
      <c r="K20" s="860"/>
      <c r="L20" s="860"/>
      <c r="M20" s="860"/>
      <c r="N20" s="861"/>
      <c r="O20" s="34"/>
    </row>
    <row r="21" spans="1:15" ht="29.25" customHeight="1">
      <c r="A21" s="119"/>
      <c r="B21" s="275" t="s">
        <v>119</v>
      </c>
      <c r="C21" s="155"/>
      <c r="D21" s="874">
        <f>IF(ISBLANK(Management!C16),"",(Management!C16))</f>
      </c>
      <c r="E21" s="874"/>
      <c r="F21" s="874"/>
      <c r="G21" s="885"/>
      <c r="H21" s="154"/>
      <c r="I21" s="859"/>
      <c r="J21" s="860"/>
      <c r="K21" s="860"/>
      <c r="L21" s="860"/>
      <c r="M21" s="860"/>
      <c r="N21" s="861"/>
      <c r="O21" s="34"/>
    </row>
    <row r="22" spans="1:15" ht="26.25" customHeight="1">
      <c r="A22" s="119"/>
      <c r="B22" s="275" t="s">
        <v>120</v>
      </c>
      <c r="C22" s="155"/>
      <c r="D22" s="874">
        <f>IF(ISBLANK(Management!I16),"",(Management!I16))</f>
      </c>
      <c r="E22" s="874"/>
      <c r="F22" s="874"/>
      <c r="G22" s="885"/>
      <c r="H22" s="154"/>
      <c r="I22" s="859"/>
      <c r="J22" s="860"/>
      <c r="K22" s="860"/>
      <c r="L22" s="860"/>
      <c r="M22" s="860"/>
      <c r="N22" s="861"/>
      <c r="O22" s="34"/>
    </row>
    <row r="23" spans="1:15" ht="24.75" customHeight="1">
      <c r="A23" s="119"/>
      <c r="B23" s="275" t="s">
        <v>121</v>
      </c>
      <c r="C23" s="155"/>
      <c r="D23" s="874" t="str">
        <f>IF(ISBLANK(Management!C27),"",(Management!C27))</f>
        <v>No data on budget &amp; procurement</v>
      </c>
      <c r="E23" s="874"/>
      <c r="F23" s="874"/>
      <c r="G23" s="885"/>
      <c r="H23" s="154"/>
      <c r="I23" s="859"/>
      <c r="J23" s="860"/>
      <c r="K23" s="860"/>
      <c r="L23" s="860"/>
      <c r="M23" s="860"/>
      <c r="N23" s="861"/>
      <c r="O23" s="34"/>
    </row>
    <row r="24" spans="1:15" ht="27" customHeight="1" thickBot="1">
      <c r="A24" s="119"/>
      <c r="B24" s="276" t="s">
        <v>122</v>
      </c>
      <c r="C24" s="156"/>
      <c r="D24" s="895">
        <f>IF(ISBLANK(Management!I27),"",(Management!I27))</f>
      </c>
      <c r="E24" s="895"/>
      <c r="F24" s="895"/>
      <c r="G24" s="896"/>
      <c r="H24" s="154"/>
      <c r="I24" s="856"/>
      <c r="J24" s="857"/>
      <c r="K24" s="857"/>
      <c r="L24" s="857"/>
      <c r="M24" s="857"/>
      <c r="N24" s="858"/>
      <c r="O24" s="34"/>
    </row>
    <row r="25" spans="1:15" ht="4.5" customHeight="1">
      <c r="A25" s="121"/>
      <c r="B25" s="126"/>
      <c r="C25" s="127"/>
      <c r="D25" s="142"/>
      <c r="E25" s="143"/>
      <c r="F25" s="144"/>
      <c r="G25" s="144"/>
      <c r="H25" s="128"/>
      <c r="I25" s="143"/>
      <c r="J25" s="129"/>
      <c r="K25" s="130"/>
      <c r="L25" s="131"/>
      <c r="M25" s="132"/>
      <c r="N25" s="133"/>
      <c r="O25" s="34"/>
    </row>
    <row r="26" spans="1:14" s="32" customFormat="1" ht="21" customHeight="1" thickBot="1">
      <c r="A26" s="121"/>
      <c r="B26" s="849" t="s">
        <v>107</v>
      </c>
      <c r="C26" s="849"/>
      <c r="D26" s="849"/>
      <c r="E26" s="849"/>
      <c r="F26" s="849"/>
      <c r="G26" s="849"/>
      <c r="H26" s="849"/>
      <c r="I26" s="849"/>
      <c r="J26" s="849"/>
      <c r="K26" s="849"/>
      <c r="L26" s="849"/>
      <c r="M26" s="849"/>
      <c r="N26" s="849"/>
    </row>
    <row r="27" spans="1:15" ht="3.75" customHeight="1" thickBot="1">
      <c r="A27" s="121"/>
      <c r="B27" s="126"/>
      <c r="C27" s="127"/>
      <c r="D27" s="142"/>
      <c r="E27" s="143"/>
      <c r="F27" s="144"/>
      <c r="G27" s="144"/>
      <c r="H27" s="128"/>
      <c r="I27" s="143"/>
      <c r="J27" s="129"/>
      <c r="K27" s="130"/>
      <c r="L27" s="131"/>
      <c r="M27" s="132"/>
      <c r="N27" s="133"/>
      <c r="O27" s="34"/>
    </row>
    <row r="28" spans="1:15" ht="21.75" customHeight="1" thickBot="1">
      <c r="A28" s="119"/>
      <c r="B28" s="870" t="s">
        <v>14</v>
      </c>
      <c r="C28" s="863"/>
      <c r="D28" s="897" t="s">
        <v>105</v>
      </c>
      <c r="E28" s="898"/>
      <c r="F28" s="898"/>
      <c r="G28" s="899"/>
      <c r="H28" s="128"/>
      <c r="I28" s="897" t="s">
        <v>320</v>
      </c>
      <c r="J28" s="898"/>
      <c r="K28" s="898"/>
      <c r="L28" s="898"/>
      <c r="M28" s="898"/>
      <c r="N28" s="899"/>
      <c r="O28" s="34"/>
    </row>
    <row r="29" spans="1:15" ht="29.25" customHeight="1">
      <c r="A29" s="119"/>
      <c r="B29" s="277" t="s">
        <v>321</v>
      </c>
      <c r="C29" s="157"/>
      <c r="D29" s="900" t="str">
        <f>IF(ISBLANK(Programmatic!C9),"",(Programmatic!C9))</f>
        <v>The target used is full year target in new Performance Framework</v>
      </c>
      <c r="E29" s="901"/>
      <c r="F29" s="901"/>
      <c r="G29" s="902"/>
      <c r="H29" s="154"/>
      <c r="I29" s="882"/>
      <c r="J29" s="883"/>
      <c r="K29" s="883"/>
      <c r="L29" s="883"/>
      <c r="M29" s="883"/>
      <c r="N29" s="884"/>
      <c r="O29" s="34"/>
    </row>
    <row r="30" spans="1:15" ht="21.75" customHeight="1">
      <c r="A30" s="119"/>
      <c r="B30" s="278" t="s">
        <v>322</v>
      </c>
      <c r="C30" s="158"/>
      <c r="D30" s="894" t="str">
        <f>IF(ISBLANK(Programmatic!G9),"",(Programmatic!G9))</f>
        <v>The target is three-quarters of full year in new PF</v>
      </c>
      <c r="E30" s="880"/>
      <c r="F30" s="880"/>
      <c r="G30" s="881"/>
      <c r="H30" s="154"/>
      <c r="I30" s="843"/>
      <c r="J30" s="844"/>
      <c r="K30" s="844"/>
      <c r="L30" s="844"/>
      <c r="M30" s="844"/>
      <c r="N30" s="845"/>
      <c r="O30" s="34"/>
    </row>
    <row r="31" spans="1:15" ht="21.75" customHeight="1">
      <c r="A31" s="119"/>
      <c r="B31" s="278" t="s">
        <v>323</v>
      </c>
      <c r="C31" s="158"/>
      <c r="D31" s="894" t="str">
        <f>IF(ISBLANK(Programmatic!M9),"",(Programmatic!M9))</f>
        <v>The target is three quarters of full year in new PF</v>
      </c>
      <c r="E31" s="880"/>
      <c r="F31" s="880"/>
      <c r="G31" s="881"/>
      <c r="H31" s="154"/>
      <c r="I31" s="843"/>
      <c r="J31" s="844"/>
      <c r="K31" s="844"/>
      <c r="L31" s="844"/>
      <c r="M31" s="844"/>
      <c r="N31" s="845"/>
      <c r="O31" s="34"/>
    </row>
    <row r="32" spans="1:15" ht="35.25" customHeight="1">
      <c r="A32" s="119"/>
      <c r="B32" s="279" t="s">
        <v>113</v>
      </c>
      <c r="C32" s="158"/>
      <c r="D32" s="879" t="str">
        <f>IF(ISBLANK(Programmatic!L20),"",(Programmatic!L20))</f>
        <v>At the end of December 2015, the program is expected to initiate 14,177 new clients on treatment. Within the current reporting period, 12,277 new clients have been initiated. Data cleaning is currently ongoing to establish the actual number on treatment. The 95,989 is made up of 83,712 active clients as at december 2014 and 12,277 newly intiated clients from January to September 2015. Death and loss to follow-up have not been accounted for in the 12,277 figure as it done at the end of the year.</v>
      </c>
      <c r="E32" s="880"/>
      <c r="F32" s="880"/>
      <c r="G32" s="881"/>
      <c r="H32" s="154"/>
      <c r="I32" s="843"/>
      <c r="J32" s="844"/>
      <c r="K32" s="844"/>
      <c r="L32" s="844"/>
      <c r="M32" s="844"/>
      <c r="N32" s="845"/>
      <c r="O32" s="34"/>
    </row>
    <row r="33" spans="1:15" ht="38.25" customHeight="1">
      <c r="A33" s="119"/>
      <c r="B33" s="279" t="s">
        <v>114</v>
      </c>
      <c r="C33" s="158"/>
      <c r="D33" s="879">
        <f>IF(ISBLANK(Programmatic!L21),"",(Programmatic!L21))</f>
      </c>
      <c r="E33" s="880"/>
      <c r="F33" s="880"/>
      <c r="G33" s="881"/>
      <c r="H33" s="154"/>
      <c r="I33" s="843"/>
      <c r="J33" s="844"/>
      <c r="K33" s="844"/>
      <c r="L33" s="844"/>
      <c r="M33" s="844"/>
      <c r="N33" s="845"/>
      <c r="O33" s="34"/>
    </row>
    <row r="34" spans="1:15" ht="36.75" customHeight="1">
      <c r="A34" s="119"/>
      <c r="B34" s="279" t="s">
        <v>115</v>
      </c>
      <c r="C34" s="158"/>
      <c r="D34" s="879" t="str">
        <f>IF(ISBLANK(Programmatic!L22),"",(Programmatic!L22))</f>
        <v>Coverage would improve in the next quarter as PMTCT trainings done in the 3rd quarter of 2015 would beging yielding results</v>
      </c>
      <c r="E34" s="880"/>
      <c r="F34" s="880"/>
      <c r="G34" s="881"/>
      <c r="H34" s="154"/>
      <c r="I34" s="843"/>
      <c r="J34" s="844"/>
      <c r="K34" s="844"/>
      <c r="L34" s="844"/>
      <c r="M34" s="844"/>
      <c r="N34" s="845"/>
      <c r="O34" s="34"/>
    </row>
    <row r="35" spans="1:15" ht="37.5" customHeight="1">
      <c r="A35" s="119"/>
      <c r="B35" s="279" t="s">
        <v>116</v>
      </c>
      <c r="C35" s="196"/>
      <c r="D35" s="879" t="str">
        <f>IF(ISBLANK(Programmatic!L23),"",(Programmatic!L23))</f>
        <v>The program identified 9,024 HIV positive pregnant women and gave ARVs to 5,751 of them. Collaboration with the Family Health Division of the Ghana Health Service which would make available ARVs at all PMTCT centres (currently 2,152) at the lowest levels (CHP compounds) aside the 197 ART sites is on course. The Program has completed PMTCT trainings in the four priority regions namely Greater Accra, Ashanti, Eastern and Western Regions and would roll out trainings to the remaining 6 Regions</v>
      </c>
      <c r="E35" s="880"/>
      <c r="F35" s="880"/>
      <c r="G35" s="881"/>
      <c r="H35" s="154"/>
      <c r="I35" s="843"/>
      <c r="J35" s="844"/>
      <c r="K35" s="844"/>
      <c r="L35" s="844"/>
      <c r="M35" s="844"/>
      <c r="N35" s="845"/>
      <c r="O35" s="34"/>
    </row>
    <row r="36" spans="1:15" ht="33" customHeight="1">
      <c r="A36" s="119"/>
      <c r="B36" s="279" t="s">
        <v>127</v>
      </c>
      <c r="C36" s="196"/>
      <c r="D36" s="879" t="str">
        <f>IF(ISBLANK(Programmatic!L24),"",(Programmatic!L24))</f>
        <v>EID samples are still been run as there are a lot of backlogs. EID trainings have  been done in the priority regions and they would be rolled out in the 6 other regions. Stakeholders are been engaged especially the Family Health Division of the Ghana Health Service to integrate EID fully into Post natal care and EPI. The above measures would significantly improve EID coverage.</v>
      </c>
      <c r="E36" s="880"/>
      <c r="F36" s="880"/>
      <c r="G36" s="881"/>
      <c r="H36" s="154"/>
      <c r="I36" s="843"/>
      <c r="J36" s="844"/>
      <c r="K36" s="844"/>
      <c r="L36" s="844"/>
      <c r="M36" s="844"/>
      <c r="N36" s="845"/>
      <c r="O36" s="34"/>
    </row>
    <row r="37" spans="1:15" ht="35.25" customHeight="1">
      <c r="A37" s="119"/>
      <c r="B37" s="279" t="s">
        <v>128</v>
      </c>
      <c r="C37" s="196"/>
      <c r="D37" s="879" t="str">
        <f>IF(ISBLANK(Programmatic!L25),"",(Programmatic!L25))</f>
        <v>Screening takes place but there are challenges with data capture which are  been resolved</v>
      </c>
      <c r="E37" s="880"/>
      <c r="F37" s="880"/>
      <c r="G37" s="881"/>
      <c r="H37" s="154"/>
      <c r="I37" s="843"/>
      <c r="J37" s="844"/>
      <c r="K37" s="844"/>
      <c r="L37" s="844"/>
      <c r="M37" s="844"/>
      <c r="N37" s="845"/>
      <c r="O37" s="34"/>
    </row>
    <row r="38" spans="1:15" ht="37.5" customHeight="1">
      <c r="A38" s="119"/>
      <c r="B38" s="279" t="s">
        <v>129</v>
      </c>
      <c r="C38" s="196"/>
      <c r="D38" s="879" t="str">
        <f>IF(ISBLANK(Programmatic!L26),"",(Programmatic!L26))</f>
        <v>Specific activities to improve this subsequently include improved Privider initiated testing and counselling (PITC), Testing of partners of pregnant women, Know-your stautus campaigns and testing of children in health care settings. These activities will be mostly started in Q1 of 2016 due to current low stocks of testkits. The next consignment of testkits will only arrive in January 2016.</v>
      </c>
      <c r="E38" s="880"/>
      <c r="F38" s="880"/>
      <c r="G38" s="881"/>
      <c r="H38" s="154"/>
      <c r="I38" s="843"/>
      <c r="J38" s="844"/>
      <c r="K38" s="844"/>
      <c r="L38" s="844"/>
      <c r="M38" s="844"/>
      <c r="N38" s="845"/>
      <c r="O38" s="34"/>
    </row>
    <row r="39" spans="1:15" ht="33.75" customHeight="1">
      <c r="A39" s="119"/>
      <c r="B39" s="279" t="s">
        <v>130</v>
      </c>
      <c r="C39" s="196"/>
      <c r="D39" s="879">
        <f>IF(ISBLANK(Programmatic!L27),"",(Programmatic!L27))</f>
      </c>
      <c r="E39" s="880"/>
      <c r="F39" s="880"/>
      <c r="G39" s="881"/>
      <c r="H39" s="154"/>
      <c r="I39" s="843"/>
      <c r="J39" s="844"/>
      <c r="K39" s="844"/>
      <c r="L39" s="844"/>
      <c r="M39" s="844"/>
      <c r="N39" s="845"/>
      <c r="O39" s="34"/>
    </row>
    <row r="40" spans="1:15" ht="21.75" customHeight="1">
      <c r="A40" s="119"/>
      <c r="B40" s="279" t="s">
        <v>131</v>
      </c>
      <c r="C40" s="196"/>
      <c r="D40" s="879">
        <f>IF(ISBLANK(Programmatic!L28),"",(Programmatic!L28))</f>
      </c>
      <c r="E40" s="880"/>
      <c r="F40" s="880"/>
      <c r="G40" s="881"/>
      <c r="H40" s="154"/>
      <c r="I40" s="843"/>
      <c r="J40" s="844"/>
      <c r="K40" s="844"/>
      <c r="L40" s="844"/>
      <c r="M40" s="844"/>
      <c r="N40" s="845"/>
      <c r="O40" s="34"/>
    </row>
    <row r="41" spans="1:15" ht="21.75" customHeight="1" thickBot="1">
      <c r="A41" s="119"/>
      <c r="B41" s="279" t="s">
        <v>132</v>
      </c>
      <c r="C41" s="159"/>
      <c r="D41" s="879">
        <f>IF(ISBLANK(Programmatic!L29),"",(Programmatic!L29))</f>
      </c>
      <c r="E41" s="880"/>
      <c r="F41" s="880"/>
      <c r="G41" s="881"/>
      <c r="H41" s="154"/>
      <c r="I41" s="846"/>
      <c r="J41" s="847"/>
      <c r="K41" s="847"/>
      <c r="L41" s="847"/>
      <c r="M41" s="847"/>
      <c r="N41" s="848"/>
      <c r="O41" s="34"/>
    </row>
    <row r="42" spans="1:15" ht="14.25">
      <c r="A42" s="119"/>
      <c r="B42" s="160"/>
      <c r="C42" s="160"/>
      <c r="D42" s="161"/>
      <c r="E42" s="119"/>
      <c r="F42" s="160"/>
      <c r="G42" s="160"/>
      <c r="H42" s="119"/>
      <c r="I42" s="162"/>
      <c r="J42" s="119"/>
      <c r="K42" s="163"/>
      <c r="L42" s="163"/>
      <c r="M42" s="163"/>
      <c r="N42" s="163"/>
      <c r="O42" s="34"/>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D19:G19"/>
    <mergeCell ref="D21:G21"/>
    <mergeCell ref="D36:G36"/>
    <mergeCell ref="D30:G30"/>
    <mergeCell ref="D31:G31"/>
    <mergeCell ref="D24:G24"/>
    <mergeCell ref="B28:C28"/>
    <mergeCell ref="D22:G22"/>
    <mergeCell ref="D23:G23"/>
    <mergeCell ref="I18:N18"/>
    <mergeCell ref="D18:G18"/>
    <mergeCell ref="D20:G20"/>
    <mergeCell ref="I32:N32"/>
    <mergeCell ref="D33:G33"/>
    <mergeCell ref="I21:N21"/>
    <mergeCell ref="I22:N22"/>
    <mergeCell ref="I23:N23"/>
    <mergeCell ref="I29:N29"/>
    <mergeCell ref="I33:N33"/>
    <mergeCell ref="I30:N30"/>
    <mergeCell ref="I31:N31"/>
    <mergeCell ref="B26:N26"/>
    <mergeCell ref="B16:N16"/>
    <mergeCell ref="D14:G14"/>
    <mergeCell ref="D11:G11"/>
    <mergeCell ref="D13:G13"/>
    <mergeCell ref="I12:N12"/>
    <mergeCell ref="D12:G12"/>
    <mergeCell ref="I11:N1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40:N40"/>
    <mergeCell ref="I41:N41"/>
    <mergeCell ref="I35:N35"/>
    <mergeCell ref="I36:N36"/>
    <mergeCell ref="I37:N37"/>
    <mergeCell ref="I38:N38"/>
    <mergeCell ref="I39:N39"/>
  </mergeCells>
  <conditionalFormatting sqref="C4:D4">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SheetLayoutView="100" zoomScalePageLayoutView="0" workbookViewId="0" topLeftCell="A1">
      <selection activeCell="O13" sqref="O13"/>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800" t="str">
        <f>'Grant Detail'!B3:J3</f>
        <v>Dashboard:  Ghana - HIV / AIDS  (MoH)</v>
      </c>
      <c r="C2" s="800"/>
      <c r="D2" s="800"/>
      <c r="E2" s="800"/>
      <c r="F2" s="800"/>
      <c r="G2" s="800"/>
      <c r="H2" s="800"/>
      <c r="I2" s="800"/>
      <c r="J2" s="800"/>
      <c r="K2" s="800"/>
      <c r="L2" s="800"/>
    </row>
    <row r="3" spans="2:13" ht="15">
      <c r="B3" s="23" t="str">
        <f>+IF('Data Entry'!G8="Please Select","",'Data Entry'!G8)</f>
        <v>NFM</v>
      </c>
      <c r="C3" s="789">
        <f>+IF('Data Entry'!I8="Please Select","",'Data Entry'!I8)</f>
        <v>0</v>
      </c>
      <c r="D3" s="789"/>
      <c r="E3" s="790"/>
      <c r="F3" s="790"/>
      <c r="G3" s="790"/>
      <c r="H3" s="790"/>
      <c r="I3" s="790"/>
      <c r="J3" s="794" t="str">
        <f>+'Data Entry'!B16</f>
        <v>Report Period:</v>
      </c>
      <c r="K3" s="794"/>
      <c r="L3" s="167" t="str">
        <f>+'Data Entry'!C16</f>
        <v>P1</v>
      </c>
      <c r="M3" s="80"/>
    </row>
    <row r="4" spans="2:12" ht="15">
      <c r="B4" s="23" t="str">
        <f>+'Data Entry'!B12</f>
        <v>Latest Rating:</v>
      </c>
      <c r="C4" s="952">
        <f>+IF('Data Entry'!C12="Please Select","",'Data Entry'!C12)</f>
        <v>0</v>
      </c>
      <c r="D4" s="952"/>
      <c r="E4" s="790" t="str">
        <f>+'Data Entry'!C8</f>
        <v>MOH</v>
      </c>
      <c r="F4" s="790"/>
      <c r="G4" s="790"/>
      <c r="H4" s="790"/>
      <c r="I4" s="790"/>
      <c r="J4" s="794" t="str">
        <f>+'Data Entry'!D16</f>
        <v>From:</v>
      </c>
      <c r="K4" s="795"/>
      <c r="L4" s="168">
        <f>+IF(ISBLANK('Data Entry'!E16),"",'Data Entry'!E16)</f>
        <v>42186</v>
      </c>
    </row>
    <row r="5" spans="2:12" ht="18.75" customHeight="1">
      <c r="B5" s="23"/>
      <c r="C5" s="23"/>
      <c r="D5" s="790" t="str">
        <f>+'Data Entry'!G4</f>
        <v>Accelerating Access to Prevention, Treatment, Care &amp; Support for HIV/AIDS</v>
      </c>
      <c r="E5" s="790"/>
      <c r="F5" s="790"/>
      <c r="G5" s="790"/>
      <c r="H5" s="790"/>
      <c r="I5" s="790"/>
      <c r="J5" s="790"/>
      <c r="K5" s="23" t="str">
        <f>+'Data Entry'!F16</f>
        <v>To:</v>
      </c>
      <c r="L5" s="168">
        <f>+IF(ISBLANK('Data Entry'!G16),"",'Data Entry'!G16)</f>
        <v>42277</v>
      </c>
    </row>
    <row r="6" spans="2:9" ht="18.75">
      <c r="B6" s="22"/>
      <c r="C6" s="23"/>
      <c r="D6" s="24"/>
      <c r="E6" s="801" t="s">
        <v>363</v>
      </c>
      <c r="F6" s="801"/>
      <c r="G6" s="801"/>
      <c r="H6" s="801"/>
      <c r="I6" s="801"/>
    </row>
    <row r="7" spans="5:9" ht="18.75">
      <c r="E7" s="67"/>
      <c r="F7" s="67"/>
      <c r="G7" s="67"/>
      <c r="H7" s="67"/>
      <c r="I7" s="67"/>
    </row>
    <row r="8" spans="2:12" s="32" customFormat="1" ht="21" customHeight="1" thickBot="1">
      <c r="B8" s="71" t="s">
        <v>103</v>
      </c>
      <c r="C8" s="71"/>
      <c r="D8" s="71"/>
      <c r="E8" s="71"/>
      <c r="F8" s="71"/>
      <c r="G8" s="71"/>
      <c r="H8" s="71"/>
      <c r="I8" s="71"/>
      <c r="J8" s="71"/>
      <c r="K8" s="71"/>
      <c r="L8" s="71"/>
    </row>
    <row r="9" ht="6" customHeight="1">
      <c r="B9" s="69"/>
    </row>
    <row r="10" spans="2:12" ht="15">
      <c r="B10" s="903"/>
      <c r="C10" s="904"/>
      <c r="D10" s="904"/>
      <c r="E10" s="904"/>
      <c r="F10" s="904"/>
      <c r="G10" s="904"/>
      <c r="H10" s="904"/>
      <c r="I10" s="904"/>
      <c r="J10" s="904"/>
      <c r="K10" s="904"/>
      <c r="L10" s="905"/>
    </row>
    <row r="11" spans="2:12" ht="15">
      <c r="B11" s="906"/>
      <c r="C11" s="907"/>
      <c r="D11" s="907"/>
      <c r="E11" s="907"/>
      <c r="F11" s="907"/>
      <c r="G11" s="907"/>
      <c r="H11" s="907"/>
      <c r="I11" s="907"/>
      <c r="J11" s="907"/>
      <c r="K11" s="907"/>
      <c r="L11" s="908"/>
    </row>
    <row r="12" ht="15.75" thickBot="1"/>
    <row r="13" spans="2:12" ht="26.25" customHeight="1" thickBot="1">
      <c r="B13" s="933" t="s">
        <v>311</v>
      </c>
      <c r="C13" s="934"/>
      <c r="D13" s="934"/>
      <c r="E13" s="935"/>
      <c r="F13" s="72"/>
      <c r="G13" s="927" t="s">
        <v>135</v>
      </c>
      <c r="H13" s="909"/>
      <c r="I13" s="909"/>
      <c r="J13" s="73" t="s">
        <v>104</v>
      </c>
      <c r="K13" s="909" t="s">
        <v>298</v>
      </c>
      <c r="L13" s="910"/>
    </row>
    <row r="14" spans="1:12" ht="15">
      <c r="A14" s="928" t="s">
        <v>312</v>
      </c>
      <c r="B14" s="911"/>
      <c r="C14" s="911"/>
      <c r="D14" s="911"/>
      <c r="E14" s="912"/>
      <c r="F14" s="41"/>
      <c r="G14" s="951"/>
      <c r="H14" s="950"/>
      <c r="I14" s="950"/>
      <c r="J14" s="950"/>
      <c r="K14" s="950"/>
      <c r="L14" s="953"/>
    </row>
    <row r="15" spans="1:12" ht="15">
      <c r="A15" s="929"/>
      <c r="B15" s="911"/>
      <c r="C15" s="911"/>
      <c r="D15" s="911"/>
      <c r="E15" s="912"/>
      <c r="F15" s="41"/>
      <c r="G15" s="931"/>
      <c r="H15" s="919"/>
      <c r="I15" s="919"/>
      <c r="J15" s="919"/>
      <c r="K15" s="919"/>
      <c r="L15" s="920"/>
    </row>
    <row r="16" spans="1:12" ht="15">
      <c r="A16" s="929"/>
      <c r="B16" s="911"/>
      <c r="C16" s="911"/>
      <c r="D16" s="911"/>
      <c r="E16" s="912"/>
      <c r="F16" s="41"/>
      <c r="G16" s="931"/>
      <c r="H16" s="919"/>
      <c r="I16" s="919"/>
      <c r="J16" s="919"/>
      <c r="K16" s="919"/>
      <c r="L16" s="920"/>
    </row>
    <row r="17" spans="1:12" ht="15">
      <c r="A17" s="929"/>
      <c r="B17" s="911"/>
      <c r="C17" s="911"/>
      <c r="D17" s="911"/>
      <c r="E17" s="912"/>
      <c r="F17" s="41"/>
      <c r="G17" s="931"/>
      <c r="H17" s="919"/>
      <c r="I17" s="919"/>
      <c r="J17" s="919"/>
      <c r="K17" s="919"/>
      <c r="L17" s="920"/>
    </row>
    <row r="18" spans="1:12" ht="15">
      <c r="A18" s="929"/>
      <c r="B18" s="911"/>
      <c r="C18" s="911"/>
      <c r="D18" s="911"/>
      <c r="E18" s="912"/>
      <c r="F18" s="41"/>
      <c r="G18" s="921"/>
      <c r="H18" s="922"/>
      <c r="I18" s="923"/>
      <c r="J18" s="919"/>
      <c r="K18" s="919"/>
      <c r="L18" s="920"/>
    </row>
    <row r="19" spans="1:12" ht="30.75" customHeight="1">
      <c r="A19" s="929"/>
      <c r="B19" s="911"/>
      <c r="C19" s="911"/>
      <c r="D19" s="911"/>
      <c r="E19" s="912"/>
      <c r="F19" s="41"/>
      <c r="G19" s="924"/>
      <c r="H19" s="925"/>
      <c r="I19" s="926"/>
      <c r="J19" s="919"/>
      <c r="K19" s="919"/>
      <c r="L19" s="920"/>
    </row>
    <row r="20" spans="1:12" ht="15">
      <c r="A20" s="929"/>
      <c r="B20" s="911"/>
      <c r="C20" s="911"/>
      <c r="D20" s="911"/>
      <c r="E20" s="912"/>
      <c r="F20" s="41"/>
      <c r="G20" s="931"/>
      <c r="H20" s="919"/>
      <c r="I20" s="919"/>
      <c r="J20" s="919"/>
      <c r="K20" s="919"/>
      <c r="L20" s="920"/>
    </row>
    <row r="21" spans="1:12" ht="15">
      <c r="A21" s="929"/>
      <c r="B21" s="911"/>
      <c r="C21" s="911"/>
      <c r="D21" s="911"/>
      <c r="E21" s="912"/>
      <c r="F21" s="41"/>
      <c r="G21" s="931"/>
      <c r="H21" s="919"/>
      <c r="I21" s="919"/>
      <c r="J21" s="919"/>
      <c r="K21" s="919"/>
      <c r="L21" s="920"/>
    </row>
    <row r="22" spans="1:12" ht="15">
      <c r="A22" s="929"/>
      <c r="B22" s="911"/>
      <c r="C22" s="911"/>
      <c r="D22" s="911"/>
      <c r="E22" s="912"/>
      <c r="F22" s="41"/>
      <c r="G22" s="931"/>
      <c r="H22" s="919"/>
      <c r="I22" s="919"/>
      <c r="J22" s="919"/>
      <c r="K22" s="919"/>
      <c r="L22" s="920"/>
    </row>
    <row r="23" spans="1:12" ht="15">
      <c r="A23" s="929"/>
      <c r="B23" s="911"/>
      <c r="C23" s="911"/>
      <c r="D23" s="911"/>
      <c r="E23" s="912"/>
      <c r="F23" s="41"/>
      <c r="G23" s="931"/>
      <c r="H23" s="919"/>
      <c r="I23" s="919"/>
      <c r="J23" s="919"/>
      <c r="K23" s="919"/>
      <c r="L23" s="920"/>
    </row>
    <row r="24" spans="1:12" ht="15">
      <c r="A24" s="929"/>
      <c r="B24" s="911"/>
      <c r="C24" s="911"/>
      <c r="D24" s="911"/>
      <c r="E24" s="912"/>
      <c r="F24" s="41"/>
      <c r="G24" s="931"/>
      <c r="H24" s="919"/>
      <c r="I24" s="919"/>
      <c r="J24" s="919"/>
      <c r="K24" s="919"/>
      <c r="L24" s="920"/>
    </row>
    <row r="25" spans="1:12" ht="15.75" thickBot="1">
      <c r="A25" s="930"/>
      <c r="B25" s="913"/>
      <c r="C25" s="913"/>
      <c r="D25" s="913"/>
      <c r="E25" s="914"/>
      <c r="F25" s="41"/>
      <c r="G25" s="936"/>
      <c r="H25" s="937"/>
      <c r="I25" s="937"/>
      <c r="J25" s="937"/>
      <c r="K25" s="937"/>
      <c r="L25" s="957"/>
    </row>
    <row r="27" spans="5:9" ht="18.75">
      <c r="E27" s="932" t="s">
        <v>338</v>
      </c>
      <c r="F27" s="932"/>
      <c r="G27" s="932"/>
      <c r="H27" s="932"/>
      <c r="I27" s="932"/>
    </row>
    <row r="28" spans="5:9" ht="6" customHeight="1">
      <c r="E28" s="67"/>
      <c r="F28" s="67"/>
      <c r="G28" s="67"/>
      <c r="H28" s="67"/>
      <c r="I28" s="67"/>
    </row>
    <row r="29" spans="2:12" s="32" customFormat="1" ht="21" customHeight="1" thickBot="1">
      <c r="B29" s="71" t="s">
        <v>396</v>
      </c>
      <c r="C29" s="71"/>
      <c r="D29" s="71"/>
      <c r="E29" s="71"/>
      <c r="F29" s="71"/>
      <c r="G29" s="71"/>
      <c r="H29" s="71"/>
      <c r="I29" s="71"/>
      <c r="J29" s="71"/>
      <c r="K29" s="71"/>
      <c r="L29" s="71"/>
    </row>
    <row r="30" ht="6" customHeight="1" thickBot="1">
      <c r="B30" s="69"/>
    </row>
    <row r="31" spans="2:12" ht="21.75" customHeight="1" thickBot="1">
      <c r="B31" s="933" t="s">
        <v>135</v>
      </c>
      <c r="C31" s="934"/>
      <c r="D31" s="934"/>
      <c r="E31" s="935"/>
      <c r="F31" s="72"/>
      <c r="G31" s="927" t="s">
        <v>325</v>
      </c>
      <c r="H31" s="909"/>
      <c r="I31" s="909"/>
      <c r="J31" s="73" t="s">
        <v>300</v>
      </c>
      <c r="K31" s="909" t="s">
        <v>298</v>
      </c>
      <c r="L31" s="910"/>
    </row>
    <row r="32" spans="1:12" ht="14.25" customHeight="1">
      <c r="A32" s="928" t="s">
        <v>313</v>
      </c>
      <c r="B32" s="938"/>
      <c r="C32" s="939"/>
      <c r="D32" s="939"/>
      <c r="E32" s="940"/>
      <c r="F32" s="41"/>
      <c r="G32" s="915"/>
      <c r="H32" s="916"/>
      <c r="I32" s="916"/>
      <c r="J32" s="916"/>
      <c r="K32" s="916"/>
      <c r="L32" s="956"/>
    </row>
    <row r="33" spans="1:12" ht="16.5" customHeight="1">
      <c r="A33" s="929"/>
      <c r="B33" s="924"/>
      <c r="C33" s="925"/>
      <c r="D33" s="925"/>
      <c r="E33" s="941"/>
      <c r="F33" s="41"/>
      <c r="G33" s="917"/>
      <c r="H33" s="918"/>
      <c r="I33" s="918"/>
      <c r="J33" s="918"/>
      <c r="K33" s="918"/>
      <c r="L33" s="954"/>
    </row>
    <row r="34" spans="1:12" ht="15">
      <c r="A34" s="929"/>
      <c r="B34" s="942">
        <f>IF(Recommendations!I43="","",Recommendations!I43)</f>
      </c>
      <c r="C34" s="943"/>
      <c r="D34" s="943"/>
      <c r="E34" s="944"/>
      <c r="F34" s="41"/>
      <c r="G34" s="917"/>
      <c r="H34" s="918"/>
      <c r="I34" s="918"/>
      <c r="J34" s="918"/>
      <c r="K34" s="918"/>
      <c r="L34" s="954"/>
    </row>
    <row r="35" spans="1:12" ht="15">
      <c r="A35" s="929"/>
      <c r="B35" s="942"/>
      <c r="C35" s="943"/>
      <c r="D35" s="943"/>
      <c r="E35" s="944"/>
      <c r="F35" s="41"/>
      <c r="G35" s="917"/>
      <c r="H35" s="918"/>
      <c r="I35" s="918"/>
      <c r="J35" s="918"/>
      <c r="K35" s="918"/>
      <c r="L35" s="954"/>
    </row>
    <row r="36" spans="1:12" ht="15">
      <c r="A36" s="929"/>
      <c r="B36" s="942">
        <f>+IF(Recommendations!I53="","",Recommendations!I53)</f>
      </c>
      <c r="C36" s="943"/>
      <c r="D36" s="943"/>
      <c r="E36" s="944"/>
      <c r="F36" s="41"/>
      <c r="G36" s="917"/>
      <c r="H36" s="918"/>
      <c r="I36" s="918"/>
      <c r="J36" s="918"/>
      <c r="K36" s="918"/>
      <c r="L36" s="954"/>
    </row>
    <row r="37" spans="1:12" ht="15">
      <c r="A37" s="929"/>
      <c r="B37" s="942"/>
      <c r="C37" s="943"/>
      <c r="D37" s="943"/>
      <c r="E37" s="944"/>
      <c r="F37" s="41"/>
      <c r="G37" s="917"/>
      <c r="H37" s="918"/>
      <c r="I37" s="918"/>
      <c r="J37" s="918"/>
      <c r="K37" s="918"/>
      <c r="L37" s="954"/>
    </row>
    <row r="38" spans="1:12" ht="15">
      <c r="A38" s="929"/>
      <c r="B38" s="942"/>
      <c r="C38" s="943"/>
      <c r="D38" s="943"/>
      <c r="E38" s="944"/>
      <c r="F38" s="41"/>
      <c r="G38" s="917"/>
      <c r="H38" s="918"/>
      <c r="I38" s="918"/>
      <c r="J38" s="918"/>
      <c r="K38" s="918"/>
      <c r="L38" s="954"/>
    </row>
    <row r="39" spans="1:12" ht="15">
      <c r="A39" s="929"/>
      <c r="B39" s="942"/>
      <c r="C39" s="943"/>
      <c r="D39" s="943"/>
      <c r="E39" s="944"/>
      <c r="F39" s="41"/>
      <c r="G39" s="917"/>
      <c r="H39" s="918"/>
      <c r="I39" s="918"/>
      <c r="J39" s="918"/>
      <c r="K39" s="918"/>
      <c r="L39" s="954"/>
    </row>
    <row r="40" spans="1:12" ht="15">
      <c r="A40" s="929"/>
      <c r="B40" s="942"/>
      <c r="C40" s="943"/>
      <c r="D40" s="943"/>
      <c r="E40" s="944"/>
      <c r="F40" s="41"/>
      <c r="G40" s="917"/>
      <c r="H40" s="918"/>
      <c r="I40" s="918"/>
      <c r="J40" s="918"/>
      <c r="K40" s="918"/>
      <c r="L40" s="954"/>
    </row>
    <row r="41" spans="1:12" ht="15">
      <c r="A41" s="929"/>
      <c r="B41" s="942"/>
      <c r="C41" s="943"/>
      <c r="D41" s="943"/>
      <c r="E41" s="944"/>
      <c r="F41" s="41"/>
      <c r="G41" s="917"/>
      <c r="H41" s="918"/>
      <c r="I41" s="918"/>
      <c r="J41" s="918"/>
      <c r="K41" s="918"/>
      <c r="L41" s="954"/>
    </row>
    <row r="42" spans="1:12" ht="15">
      <c r="A42" s="929"/>
      <c r="B42" s="942"/>
      <c r="C42" s="943"/>
      <c r="D42" s="943"/>
      <c r="E42" s="944"/>
      <c r="F42" s="41"/>
      <c r="G42" s="917"/>
      <c r="H42" s="918"/>
      <c r="I42" s="918"/>
      <c r="J42" s="918"/>
      <c r="K42" s="918"/>
      <c r="L42" s="954"/>
    </row>
    <row r="43" spans="1:12" ht="15.75" thickBot="1">
      <c r="A43" s="930"/>
      <c r="B43" s="945"/>
      <c r="C43" s="946"/>
      <c r="D43" s="946"/>
      <c r="E43" s="947"/>
      <c r="F43" s="41"/>
      <c r="G43" s="948"/>
      <c r="H43" s="949"/>
      <c r="I43" s="949"/>
      <c r="J43" s="949"/>
      <c r="K43" s="949"/>
      <c r="L43" s="955"/>
    </row>
  </sheetData>
  <sheetProtection password="CFC9" sheet="1"/>
  <mergeCells count="67">
    <mergeCell ref="K42:L43"/>
    <mergeCell ref="K36:L37"/>
    <mergeCell ref="K38:L39"/>
    <mergeCell ref="K32:L33"/>
    <mergeCell ref="K31:L31"/>
    <mergeCell ref="K24:L25"/>
    <mergeCell ref="K34:L35"/>
    <mergeCell ref="K40:L41"/>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G42:I43"/>
    <mergeCell ref="J42:J43"/>
    <mergeCell ref="G40:I41"/>
    <mergeCell ref="A14:A25"/>
    <mergeCell ref="J18:J19"/>
    <mergeCell ref="J16:J17"/>
    <mergeCell ref="J14:J15"/>
    <mergeCell ref="B16:E17"/>
    <mergeCell ref="G14:I15"/>
    <mergeCell ref="B38:E39"/>
    <mergeCell ref="D5:J5"/>
    <mergeCell ref="B13:E13"/>
    <mergeCell ref="J24:J25"/>
    <mergeCell ref="B14:E15"/>
    <mergeCell ref="J22:J23"/>
    <mergeCell ref="G16:I17"/>
    <mergeCell ref="B18:E19"/>
    <mergeCell ref="B22:E23"/>
    <mergeCell ref="B20:E21"/>
    <mergeCell ref="J20:J21"/>
    <mergeCell ref="A32:A43"/>
    <mergeCell ref="G31:I31"/>
    <mergeCell ref="G20:I21"/>
    <mergeCell ref="G22:I23"/>
    <mergeCell ref="E27:I27"/>
    <mergeCell ref="B31:E31"/>
    <mergeCell ref="G24:I25"/>
    <mergeCell ref="G38:I39"/>
    <mergeCell ref="B32:E33"/>
    <mergeCell ref="B42:E43"/>
    <mergeCell ref="B10:L11"/>
    <mergeCell ref="K13:L13"/>
    <mergeCell ref="B24:E25"/>
    <mergeCell ref="G32:I33"/>
    <mergeCell ref="K18:L19"/>
    <mergeCell ref="G18:I19"/>
    <mergeCell ref="G13:I13"/>
    <mergeCell ref="K22:L23"/>
    <mergeCell ref="K20:L21"/>
    <mergeCell ref="J32:J33"/>
  </mergeCells>
  <conditionalFormatting sqref="C4:D4">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Kwadwo Asante</dc:creator>
  <cp:keywords/>
  <dc:description/>
  <cp:lastModifiedBy>user</cp:lastModifiedBy>
  <cp:lastPrinted>2015-11-18T16:21:04Z</cp:lastPrinted>
  <dcterms:created xsi:type="dcterms:W3CDTF">2010-01-15T16:50:41Z</dcterms:created>
  <dcterms:modified xsi:type="dcterms:W3CDTF">2015-12-07T12:18:44Z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