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905" tabRatio="721" firstSheet="2" activeTab="2"/>
  </bookViews>
  <sheets>
    <sheet name="Menu" sheetId="1" r:id="rId1"/>
    <sheet name="List of Indicators" sheetId="2" r:id="rId2"/>
    <sheet name="Data Entry" sheetId="3" r:id="rId3"/>
    <sheet name="Grant Detail" sheetId="4" r:id="rId4"/>
    <sheet name="Finance" sheetId="5" r:id="rId5"/>
    <sheet name="Management" sheetId="6" r:id="rId6"/>
    <sheet name="Programmatic" sheetId="7" r:id="rId7"/>
    <sheet name="Recommendations" sheetId="8" r:id="rId8"/>
    <sheet name="Actions" sheetId="9" r:id="rId9"/>
    <sheet name="Setup" sheetId="10" state="hidden" r:id="rId10"/>
  </sheets>
  <externalReferences>
    <externalReference r:id="rId13"/>
    <externalReference r:id="rId14"/>
  </externalReferences>
  <definedNames>
    <definedName name="_xlfn.COMPOUNDVALUE" hidden="1">#NAME?</definedName>
    <definedName name="_xlfn.CUBEKPIMEMBER" hidden="1">#NAME?</definedName>
    <definedName name="_xlfn.CUBEMEMBER" hidden="1">#NAME?</definedName>
    <definedName name="_xlfn.CUBERANKEDMEMBER" hidden="1">#NAME?</definedName>
    <definedName name="_xlfn.CUBESET" hidden="1">#NAME?</definedName>
    <definedName name="_xlfn.CUBEVALUE" hidden="1">#NAME?</definedName>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molszak</author>
    <author>mgleixner</author>
  </authors>
  <commentList>
    <comment ref="B72" authorId="0">
      <text>
        <r>
          <rPr>
            <b/>
            <sz val="8"/>
            <rFont val="Tahoma"/>
            <family val="2"/>
          </rPr>
          <t xml:space="preserve">If data are not available, do not enter zeros; rather, leave the cells in the table blank. </t>
        </r>
      </text>
    </comment>
    <comment ref="B73" authorId="0">
      <text>
        <r>
          <rPr>
            <b/>
            <sz val="8"/>
            <rFont val="Tahoma"/>
            <family val="2"/>
          </rPr>
          <t>If data are not available, do not enter zeros; rather, leave the cells in this table blank.</t>
        </r>
      </text>
    </comment>
    <comment ref="B30" authorId="1">
      <text>
        <r>
          <rPr>
            <sz val="8"/>
            <rFont val="Tahoma"/>
            <family val="2"/>
          </rPr>
          <t>To define your periods (eg. P1, P2, P3 etc or P9, P10, P11 etc) you need to unprotect the cells.</t>
        </r>
      </text>
    </comment>
    <comment ref="B79" authorId="1">
      <text>
        <r>
          <rPr>
            <sz val="8"/>
            <rFont val="Tahoma"/>
            <family val="2"/>
          </rPr>
          <t xml:space="preserve">If data are not available, do not enter zeros; rather, leave the cells in this table blank. </t>
        </r>
      </text>
    </comment>
    <comment ref="B94" authorId="1">
      <text>
        <r>
          <rPr>
            <sz val="8"/>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<sst xmlns="http://schemas.openxmlformats.org/spreadsheetml/2006/main" count="611" uniqueCount="464">
  <si>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</si>
  <si>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</si>
  <si>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</si>
  <si>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</si>
  <si>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</si>
  <si>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</si>
  <si>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</si>
  <si>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</si>
  <si>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</si>
  <si>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</si>
  <si>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</si>
  <si>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</si>
  <si>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</si>
  <si>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</si>
  <si>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</si>
  <si>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</si>
  <si>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</si>
  <si>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</si>
  <si>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</si>
  <si>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</si>
  <si>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</si>
  <si>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</si>
  <si>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</si>
  <si>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</si>
  <si>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</si>
  <si>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</si>
  <si>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</si>
  <si>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</si>
  <si>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</si>
  <si>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</si>
  <si>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</si>
  <si>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</si>
  <si>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</si>
  <si>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</si>
  <si>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</si>
  <si>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</si>
  <si>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</si>
  <si>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</si>
  <si>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</si>
  <si>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</si>
  <si>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</si>
  <si>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</si>
  <si>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</si>
  <si>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</si>
  <si>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</si>
  <si>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</si>
  <si>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</si>
  <si>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</si>
  <si>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</si>
  <si>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</si>
  <si>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</si>
  <si>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</si>
  <si>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</si>
  <si>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</si>
  <si>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</si>
  <si>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</si>
  <si>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</si>
  <si>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</si>
  <si>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</si>
  <si>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</si>
  <si>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</si>
  <si>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</si>
  <si>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</si>
  <si>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</si>
  <si>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</si>
  <si>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</si>
  <si>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</si>
  <si>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</si>
  <si>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</si>
  <si>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</si>
  <si>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</si>
  <si>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</si>
  <si>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</si>
  <si>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</si>
  <si>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</si>
  <si>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</si>
  <si>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</si>
  <si>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</si>
  <si>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</si>
  <si>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</si>
  <si>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</si>
  <si>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</si>
  <si>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</si>
  <si>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</si>
  <si>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</si>
  <si>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</si>
  <si>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</si>
  <si>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</si>
  <si>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</si>
  <si>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</si>
  <si>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</si>
  <si>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</si>
  <si>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</si>
  <si>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</si>
  <si>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</si>
  <si>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</si>
  <si>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</si>
  <si>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</si>
  <si>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</si>
  <si>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</si>
  <si>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</si>
  <si>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</si>
  <si>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</si>
  <si>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</si>
  <si>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</si>
  <si>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</si>
  <si>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</si>
  <si>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</si>
  <si>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</si>
  <si>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</si>
  <si>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</si>
  <si>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</si>
  <si>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</si>
  <si>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</si>
  <si>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</si>
  <si>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</si>
  <si>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</si>
  <si>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</si>
  <si>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</si>
  <si>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</si>
  <si>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</si>
  <si>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</si>
  <si>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</si>
  <si>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</si>
  <si>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</si>
  <si>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</si>
  <si>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</si>
  <si>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</si>
  <si>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</si>
  <si>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</si>
  <si>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</si>
  <si>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</si>
  <si>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</si>
  <si>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</si>
  <si>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</si>
  <si>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</si>
  <si>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</si>
  <si>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</si>
  <si>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</si>
  <si>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</si>
  <si>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</si>
  <si>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</si>
  <si>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</si>
  <si>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</si>
  <si>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</si>
  <si>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</si>
  <si>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</si>
  <si>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</si>
  <si>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</si>
  <si>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</si>
  <si>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</si>
  <si>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</si>
  <si>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</si>
  <si>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</si>
  <si>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</si>
  <si>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</si>
  <si>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</si>
  <si>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</si>
  <si>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</si>
  <si>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</si>
  <si>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</si>
  <si>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</si>
  <si>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</si>
  <si>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</si>
  <si>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</si>
  <si>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</si>
  <si>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</si>
  <si>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</si>
  <si>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</si>
  <si>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</si>
  <si>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</si>
  <si>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</si>
  <si>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</si>
  <si>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</si>
  <si>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</si>
  <si>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</si>
  <si>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</si>
  <si>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</si>
  <si>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</si>
  <si>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</si>
  <si>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</si>
  <si>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</si>
  <si>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</si>
  <si>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</si>
  <si>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</si>
  <si>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</si>
  <si>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</si>
  <si>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</si>
  <si>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</si>
  <si>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</si>
  <si>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</si>
  <si>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</si>
  <si>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</si>
  <si>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</si>
  <si>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</si>
  <si>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</si>
  <si>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</si>
  <si>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</si>
  <si>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</si>
  <si>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</si>
  <si>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</si>
  <si>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</si>
  <si>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</si>
  <si>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</si>
  <si>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</si>
  <si>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</si>
  <si>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</si>
  <si>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</si>
  <si>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</si>
  <si>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</si>
  <si>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</si>
  <si>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</si>
  <si>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</si>
  <si>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</si>
  <si>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</si>
  <si>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</si>
  <si>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</si>
  <si>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</si>
  <si>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</si>
  <si>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</si>
  <si>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</si>
  <si>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</si>
  <si>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</si>
  <si>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</si>
  <si>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</si>
  <si>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</si>
  <si>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</si>
  <si>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</si>
  <si>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</si>
  <si>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</si>
  <si>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</si>
  <si>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</si>
  <si>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</si>
  <si>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</si>
  <si>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</si>
  <si>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</si>
  <si>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</si>
  <si>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</si>
  <si>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</si>
  <si>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</si>
  <si>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</si>
  <si>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</si>
  <si>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</si>
  <si>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</si>
  <si>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</si>
  <si>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</si>
  <si>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</si>
  <si>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</si>
  <si>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</si>
  <si>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</si>
  <si>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</si>
  <si>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</si>
  <si>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</si>
  <si>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</si>
  <si>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</si>
  <si>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</si>
  <si>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</si>
  <si>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</si>
  <si>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</si>
  <si>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</si>
  <si>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</si>
  <si>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</si>
  <si>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</si>
  <si>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</si>
  <si>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</si>
  <si>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</si>
  <si>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</si>
  <si>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</si>
  <si>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</si>
  <si>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</si>
  <si>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</si>
  <si>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</si>
  <si>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</si>
  <si>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</si>
  <si>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</si>
  <si>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</si>
  <si>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</si>
  <si>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</si>
  <si>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</si>
  <si>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</si>
  <si>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</si>
  <si>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</si>
  <si>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</si>
  <si>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</si>
  <si>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</si>
  <si>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</si>
  <si>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</si>
  <si>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</si>
  <si>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</si>
  <si>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</si>
  <si>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</si>
  <si>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</si>
  <si>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</si>
  <si>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</si>
  <si>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</si>
  <si>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</si>
  <si>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</si>
  <si>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</si>
  <si>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</si>
  <si>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</si>
  <si>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</si>
  <si>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</si>
  <si>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</si>
  <si>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</si>
  <si>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</si>
  <si>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</si>
  <si>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</si>
  <si>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</si>
  <si>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</si>
  <si>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</si>
  <si>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</si>
  <si>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</si>
  <si>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</si>
  <si>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</si>
  <si>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</si>
  <si>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</si>
  <si>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</si>
  <si>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</si>
  <si>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</si>
  <si>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</si>
  <si>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</si>
  <si>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</si>
  <si>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</si>
  <si>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</si>
  <si>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</si>
  <si>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</si>
  <si>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</si>
  <si>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</si>
  <si>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</si>
  <si>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</si>
  <si>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</si>
  <si>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</si>
  <si>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</si>
  <si>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</si>
  <si>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</si>
  <si>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</si>
  <si>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</si>
  <si>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</si>
  <si>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</si>
  <si>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</si>
  <si>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</si>
  <si>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</si>
  <si>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</si>
  <si>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</si>
  <si>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</si>
  <si>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</si>
  <si>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</si>
  <si>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</si>
  <si>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</si>
  <si>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</si>
  <si>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</si>
  <si>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</si>
  <si>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</si>
  <si>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</si>
  <si>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</si>
  <si>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</si>
  <si>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</si>
  <si>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</si>
  <si>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</si>
  <si>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</si>
  <si>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</si>
  <si>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</si>
  <si>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</si>
  <si>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</si>
  <si>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</si>
  <si>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</si>
  <si>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</si>
  <si>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</si>
  <si>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</si>
  <si>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</si>
  <si>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</si>
  <si>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</si>
  <si>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</si>
  <si>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</si>
  <si>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</si>
  <si>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</si>
  <si>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</si>
  <si>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</si>
  <si>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</si>
  <si>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</si>
  <si>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</si>
  <si>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</si>
  <si>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</si>
  <si>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</si>
  <si>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</si>
  <si>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</si>
  <si>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</si>
  <si>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</si>
  <si>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</si>
  <si>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</si>
  <si>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</si>
  <si>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</si>
  <si>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</si>
  <si>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</si>
  <si>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</si>
  <si>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</si>
  <si>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</si>
  <si>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</si>
  <si>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</si>
  <si>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</si>
  <si>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</si>
  <si>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</si>
  <si>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</si>
  <si>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</si>
  <si>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</si>
  <si>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</si>
  <si>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</si>
  <si>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</si>
  <si>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</si>
  <si>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</si>
  <si>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</si>
  <si>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</si>
  <si>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</si>
  <si>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</si>
  <si>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</si>
  <si>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Jan-Mar 2015</t>
  </si>
  <si>
    <t>Apr-Jun 2015</t>
  </si>
  <si>
    <t>Jul-Sep 2015</t>
  </si>
  <si>
    <t>Oct-Dec 2015</t>
  </si>
  <si>
    <t>Jan-Mar 2016</t>
  </si>
  <si>
    <t>Apr-Jun 2016</t>
  </si>
  <si>
    <t>Jun-Sep 2016</t>
  </si>
  <si>
    <t>Oct-Dec 2016</t>
  </si>
  <si>
    <t>Jan-Mar 2017</t>
  </si>
  <si>
    <t>Apr-Jun 2017</t>
  </si>
  <si>
    <t>Jul-Sep 2017</t>
  </si>
  <si>
    <t>Oct-Dec 2017</t>
  </si>
  <si>
    <t>Ministry of Health / Ghana Health Services</t>
  </si>
  <si>
    <t>Accelerating access to prevention and treatment of TB towards attaining the MDGs</t>
  </si>
  <si>
    <t>Ped: (ISONIAZID+RIFAMPICIN+PYRAZINAMIDE) +(ISONIAZID+RIFAMPICIN)Paediatrics)</t>
  </si>
  <si>
    <t>Cat 1: (ISONIAZID+RIFAMPICI+PYRAZINAMIDE+ETHAMBUTOL)  + (ISONIAZID + RIFAMPICIN) Cat 1</t>
  </si>
  <si>
    <t>Cat 2: (ISONIAZID+RIFAMPICIN+PYRAZINAMIDE+ETHAMBUTOL+ STREPTOMYCIN) + (ISONIAZID+RIFAMPICIN+ETHAMBUTOL) Cat 2</t>
  </si>
  <si>
    <t>NA</t>
  </si>
  <si>
    <t>DOTS-1a: Number of notified cases of all forms of TB - bacteriologically confirmed plus clinically diagnosed, new and relapses</t>
  </si>
  <si>
    <t>DOTS-1b: Number of notified cases of bacteriologically confirmed TB, new and relapses</t>
  </si>
  <si>
    <t>DOTS-2a: Percentage of TB cases, all forms, bacteriologically confirmed plus clinically diagnosed, successfully treated (cured plus treatment completed) among all new TB cases registered for treatment during a specified period</t>
  </si>
  <si>
    <t>DOTS-3: Percentage of laboratories showing adequate performance in external quality assurance for smear microscopy among the total number of laboratories that undertake smear microscopy during the reporting period</t>
  </si>
  <si>
    <t>DOTS-4: Percentage of reporting units reporting no stock-out of first-line anti-TB drugs on the last day of the quarter</t>
  </si>
  <si>
    <t>DOTS-7a: Percentage of notified TB cases, all forms, contributed by non-NTP providers - private/non-governmental facilities</t>
  </si>
  <si>
    <t>MDR TB-1: Percentage of previously treated TB patients receiving DST (bacteriologically positive cases only)</t>
  </si>
  <si>
    <t>MDR TB-2: Number of bacteriologically confirmed, drug resistant TB cases (RR-TB and/or MDR-TB) notified</t>
  </si>
  <si>
    <t>MDR TB-3: Number of cases with drug resistant TB (RR-TB and/or MDR-TB) that began second-line treatment</t>
  </si>
  <si>
    <t>TB/HIV-1: Percentage of TB patients who had an HIV test result recorded in the TB register</t>
  </si>
  <si>
    <t>TB/HIV-2: Percentage of HIV-positive registered TB patients given anti-retroviral therapy during TB treatment</t>
  </si>
  <si>
    <t>GHA-T-MOH</t>
  </si>
  <si>
    <t>Mark Saafeld</t>
  </si>
  <si>
    <t>Increasingly, prescribers are following the Drug Resistant diagnosis alogorithm.  Sputum trasnport has been streamlined and some bottleneck removed.</t>
  </si>
  <si>
    <t>Effective stock management and the availability of commodities ensured no stock-out of TB commodities.</t>
  </si>
  <si>
    <t>Fewer than expected drug resistant TB cases were diagnosed.  TB Drug resistant survey is being conducted to establish TB drug resisnatnce prevalence in Ghana.  This is 9% prevalence based on the limited data.</t>
  </si>
  <si>
    <t>1. TB Care and Prevention</t>
  </si>
  <si>
    <t>2. TB/HIV</t>
  </si>
  <si>
    <t>3. MDR-TB</t>
  </si>
  <si>
    <t>4. HSS-Health Information systems and M&amp;E</t>
  </si>
  <si>
    <t>5. HSS- Financial Management</t>
  </si>
  <si>
    <t>6. Programme Management</t>
  </si>
  <si>
    <t>7. Other</t>
  </si>
  <si>
    <t>69% of the target cases were tested for HIV, but, represent  80.3% of TB cases reported.</t>
  </si>
  <si>
    <t>Orientation for health workers to systematically screen for TB at OPDs is completed and screening  tools have been deployed.  However, Gene Xperts to aid diagnosis have not been procured yet.</t>
  </si>
  <si>
    <t xml:space="preserve">The process for procurement of GeneXpert has started and delivery of 90 Xperts which was expected in December 2015 has delayed. They will be deployed as soon as they are delivered after training of biomedical scientist, which is expected to be done on-site. </t>
  </si>
  <si>
    <t>EQA was intensified after indicators were redefined to conform with the revised WHO definitions</t>
  </si>
  <si>
    <t>Reports from the Civil Society Organizations are due at the close of February 2016 and will be part of the next semester report</t>
  </si>
  <si>
    <t xml:space="preserve">This also includes patients diagnosed in December 2014 who were not enrolled due to pre-enrollment requirements which includes baseline laboratory investigations. </t>
  </si>
  <si>
    <t>The achieveds is 2 percentage points short of the target 87%.  Death rate was 10.3%</t>
  </si>
  <si>
    <t>Kwami Afutu/Kulevome</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</si>
</sst>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 #,##0_ ;_ * \-#,##0_ ;_ * &quot;-&quot;_ ;_ @_ "/>
    <numFmt numFmtId="184" formatCode="_ &quot;SFr.&quot;\ * #,##0.00_ ;_ &quot;SFr.&quot;\ * \-#,##0.00_ ;_ &quot;SFr.&quot;\ * &quot;-&quot;??_ ;_ @_ "/>
    <numFmt numFmtId="185" formatCode="_ * #,##0.00_ ;_ * \-#,##0.00_ ;_ * &quot;-&quot;??_ ;_ @_ "/>
    <numFmt numFmtId="186" formatCode="&quot;Q&quot;#,##0_);[Red]\(&quot;Q&quot;#,##0\)"/>
    <numFmt numFmtId="187" formatCode="_(&quot;Q&quot;* #,##0_);_(&quot;Q&quot;* \(#,##0\);_(&quot;Q&quot;* &quot;-&quot;_);_(@_)"/>
    <numFmt numFmtId="188" formatCode="_(&quot;Q&quot;* #,##0.00_);_(&quot;Q&quot;* \(#,##0.00\);_(&quot;Q&quot;* &quot;-&quot;??_);_(@_)"/>
    <numFmt numFmtId="189" formatCode="_(* #,##0_);_(* \(#,##0\);_(* &quot;-&quot;??_);_(@_)"/>
    <numFmt numFmtId="190" formatCode=";;;"/>
    <numFmt numFmtId="191" formatCode="0.0"/>
    <numFmt numFmtId="192" formatCode=";;;&quot;Financial Variance in %&quot;"/>
    <numFmt numFmtId="193" formatCode=";;;&quot;Revenue in $&quot;"/>
    <numFmt numFmtId="194" formatCode="_([$€]* #,##0.00_);_([$€]* \(#,##0.00\);_([$€]* &quot;-&quot;??_);_(@_)"/>
    <numFmt numFmtId="195" formatCode="[$$-409]#,##0"/>
    <numFmt numFmtId="196" formatCode="[$-409]d/mmm/yyyy;@"/>
    <numFmt numFmtId="197" formatCode="[$$-409]#,##0.00"/>
    <numFmt numFmtId="198" formatCode="[$$-409]#,##0_);\([$$-409]#,##0\)"/>
    <numFmt numFmtId="199" formatCode="[$$-409]#,##0.0"/>
    <numFmt numFmtId="200" formatCode="&quot;Yes&quot;;&quot;Yes&quot;;&quot;No&quot;"/>
    <numFmt numFmtId="201" formatCode="&quot;True&quot;;&quot;True&quot;;&quot;False&quot;"/>
    <numFmt numFmtId="202" formatCode="&quot;On&quot;;&quot;On&quot;;&quot;Off&quot;"/>
    <numFmt numFmtId="203" formatCode="[$€-2]\ #,##0.00_);[Red]\([$€-2]\ #,##0.00\)"/>
    <numFmt numFmtId="204" formatCode="[$-409]dddd\,\ mmmm\ d\,\ yyyy"/>
    <numFmt numFmtId="205" formatCode="[$-409]h:mm:ss\ AM/PM"/>
    <numFmt numFmtId="206" formatCode="#,##0.0"/>
    <numFmt numFmtId="207" formatCode="#,##0.000"/>
  </numFmts>
  <fonts count="142">
    <font>
      <sz val="11"/>
      <color theme="1"/>
      <name val="Calibri"/>
      <family val="2"/>
    </font>
    <font>
      <sz val="11"/>
      <color indexed="8"/>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u val="single"/>
      <sz val="11"/>
      <color indexed="36"/>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sz val="9"/>
      <color indexed="8"/>
      <name val="Micro Bar Charts"/>
      <family val="0"/>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b/>
      <sz val="14"/>
      <color indexed="51"/>
      <name val="Calibri"/>
      <family val="2"/>
    </font>
    <font>
      <sz val="11"/>
      <color indexed="59"/>
      <name val="Calibri"/>
      <family val="2"/>
    </font>
    <font>
      <sz val="10"/>
      <color indexed="59"/>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4"/>
      <color indexed="52"/>
      <name val="Calibri"/>
      <family val="2"/>
    </font>
    <font>
      <b/>
      <sz val="14"/>
      <color indexed="14"/>
      <name val="Calibri"/>
      <family val="2"/>
    </font>
    <font>
      <b/>
      <sz val="10"/>
      <color indexed="53"/>
      <name val="Calibri"/>
      <family val="2"/>
    </font>
    <font>
      <b/>
      <sz val="12"/>
      <name val="Arial"/>
      <family val="2"/>
    </font>
    <font>
      <sz val="11"/>
      <color indexed="8"/>
      <name val="Arial Black"/>
      <family val="2"/>
    </font>
    <font>
      <i/>
      <sz val="11"/>
      <color indexed="8"/>
      <name val="Calibri"/>
      <family val="2"/>
    </font>
    <font>
      <b/>
      <sz val="11"/>
      <color indexed="60"/>
      <name val="Calibri"/>
      <family val="2"/>
    </font>
    <font>
      <sz val="10"/>
      <color indexed="60"/>
      <name val="Calibri"/>
      <family val="2"/>
    </font>
    <font>
      <i/>
      <sz val="11"/>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b/>
      <sz val="14"/>
      <color indexed="44"/>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8"/>
      <name val="Arial"/>
      <family val="2"/>
    </font>
    <font>
      <sz val="8"/>
      <name val="Tahoma"/>
      <family val="2"/>
    </font>
    <font>
      <b/>
      <sz val="20"/>
      <color indexed="8"/>
      <name val="Calibri"/>
      <family val="2"/>
    </font>
    <font>
      <sz val="20"/>
      <color indexed="8"/>
      <name val="Calibri"/>
      <family val="2"/>
    </font>
    <font>
      <sz val="9"/>
      <color indexed="8"/>
      <name val="Calibri"/>
      <family val="2"/>
    </font>
    <font>
      <sz val="12"/>
      <color indexed="8"/>
      <name val="Arial"/>
      <family val="0"/>
    </font>
    <font>
      <sz val="18"/>
      <color indexed="8"/>
      <name val="Arial"/>
      <family val="0"/>
    </font>
    <font>
      <sz val="5.75"/>
      <color indexed="8"/>
      <name val="Arial"/>
      <family val="0"/>
    </font>
    <font>
      <sz val="6"/>
      <color indexed="8"/>
      <name val="Arial"/>
      <family val="0"/>
    </font>
    <font>
      <b/>
      <sz val="5.75"/>
      <color indexed="8"/>
      <name val="Arial"/>
      <family val="0"/>
    </font>
    <font>
      <sz val="4.4"/>
      <color indexed="8"/>
      <name val="Arial"/>
      <family val="0"/>
    </font>
    <font>
      <sz val="6.2"/>
      <color indexed="8"/>
      <name val="Arial"/>
      <family val="0"/>
    </font>
    <font>
      <sz val="9.5"/>
      <color indexed="8"/>
      <name val="Arial"/>
      <family val="0"/>
    </font>
    <font>
      <sz val="4.25"/>
      <color indexed="8"/>
      <name val="Arial"/>
      <family val="0"/>
    </font>
    <font>
      <sz val="8"/>
      <color indexed="8"/>
      <name val="Arial"/>
      <family val="0"/>
    </font>
    <font>
      <sz val="5"/>
      <color indexed="8"/>
      <name val="Calibri"/>
      <family val="0"/>
    </font>
    <font>
      <sz val="5.7"/>
      <color indexed="8"/>
      <name val="Calibri"/>
      <family val="0"/>
    </font>
    <font>
      <sz val="5.5"/>
      <color indexed="8"/>
      <name val="Arial"/>
      <family val="0"/>
    </font>
    <font>
      <b/>
      <sz val="8"/>
      <color indexed="8"/>
      <name val="Arial"/>
      <family val="0"/>
    </font>
    <font>
      <sz val="6.75"/>
      <color indexed="8"/>
      <name val="Arial"/>
      <family val="0"/>
    </font>
    <font>
      <sz val="4.6"/>
      <color indexed="8"/>
      <name val="Arial"/>
      <family val="0"/>
    </font>
    <font>
      <sz val="4.75"/>
      <color indexed="8"/>
      <name val="Arial"/>
      <family val="0"/>
    </font>
    <font>
      <b/>
      <sz val="5.5"/>
      <color indexed="8"/>
      <name val="Arial"/>
      <family val="0"/>
    </font>
    <font>
      <sz val="1"/>
      <color indexed="8"/>
      <name val="Arial"/>
      <family val="0"/>
    </font>
    <font>
      <b/>
      <sz val="1"/>
      <color indexed="8"/>
      <name val="Arial"/>
      <family val="0"/>
    </font>
    <font>
      <b/>
      <sz val="1.25"/>
      <color indexed="8"/>
      <name val="Arial"/>
      <family val="0"/>
    </font>
    <font>
      <sz val="11"/>
      <color rgb="FF9C6500"/>
      <name val="Calibri"/>
      <family val="2"/>
    </font>
    <font>
      <b/>
      <sz val="11"/>
      <color theme="1"/>
      <name val="Calibri"/>
      <family val="2"/>
    </font>
    <font>
      <b/>
      <sz val="8"/>
      <name val="Calibri"/>
      <family val="2"/>
    </font>
  </fonts>
  <fills count="3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14"/>
        <bgColor indexed="64"/>
      </patternFill>
    </fill>
    <fill>
      <patternFill patternType="solid">
        <fgColor indexed="55"/>
        <bgColor indexed="64"/>
      </patternFill>
    </fill>
    <fill>
      <patternFill patternType="solid">
        <fgColor indexed="62"/>
        <bgColor indexed="64"/>
      </patternFill>
    </fill>
    <fill>
      <patternFill patternType="solid">
        <fgColor rgb="FFFFEB9C"/>
        <bgColor indexed="64"/>
      </patternFill>
    </fill>
    <fill>
      <patternFill patternType="gray0625">
        <fgColor indexed="52"/>
        <bgColor indexed="43"/>
      </patternFill>
    </fill>
    <fill>
      <patternFill patternType="solid">
        <fgColor indexed="61"/>
        <bgColor indexed="64"/>
      </patternFill>
    </fill>
    <fill>
      <patternFill patternType="gray0625">
        <fgColor indexed="52"/>
      </patternFill>
    </fill>
    <fill>
      <patternFill patternType="solid">
        <fgColor indexed="65"/>
        <bgColor indexed="64"/>
      </patternFill>
    </fill>
    <fill>
      <patternFill patternType="solid">
        <fgColor indexed="43"/>
        <bgColor indexed="64"/>
      </patternFill>
    </fill>
    <fill>
      <patternFill patternType="solid">
        <fgColor theme="0"/>
        <bgColor indexed="64"/>
      </patternFill>
    </fill>
    <fill>
      <patternFill patternType="solid">
        <fgColor indexed="18"/>
        <bgColor indexed="64"/>
      </patternFill>
    </fill>
    <fill>
      <patternFill patternType="gray0625">
        <fgColor indexed="51"/>
        <bgColor indexed="43"/>
      </patternFill>
    </fill>
    <fill>
      <patternFill patternType="mediumGray">
        <fgColor indexed="9"/>
        <bgColor indexed="43"/>
      </patternFill>
    </fill>
    <fill>
      <patternFill patternType="solid">
        <fgColor indexed="13"/>
        <bgColor indexed="64"/>
      </patternFill>
    </fill>
  </fills>
  <borders count="2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color indexed="63"/>
      </left>
      <right>
        <color indexed="63"/>
      </right>
      <top>
        <color indexed="63"/>
      </top>
      <bottom style="medium">
        <color indexed="60"/>
      </bottom>
    </border>
    <border>
      <left style="medium">
        <color indexed="16"/>
      </left>
      <right style="thin">
        <color indexed="16"/>
      </right>
      <top style="thin">
        <color indexed="16"/>
      </top>
      <bottom style="thin">
        <color indexed="16"/>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medium">
        <color indexed="16"/>
      </left>
      <right style="thin"/>
      <top style="thin"/>
      <bottom style="thin"/>
    </border>
    <border>
      <left style="medium">
        <color indexed="16"/>
      </left>
      <right style="thin"/>
      <top style="thin"/>
      <bottom style="medium">
        <color indexed="16"/>
      </bottom>
    </border>
    <border>
      <left>
        <color indexed="63"/>
      </left>
      <right>
        <color indexed="63"/>
      </right>
      <top>
        <color indexed="63"/>
      </top>
      <bottom style="medium">
        <color indexed="12"/>
      </bottom>
    </border>
    <border>
      <left style="thin"/>
      <right style="thin"/>
      <top style="medium">
        <color indexed="48"/>
      </top>
      <bottom style="thin"/>
    </border>
    <border>
      <left style="thin"/>
      <right style="medium">
        <color indexed="48"/>
      </right>
      <top style="medium">
        <color indexed="48"/>
      </top>
      <bottom style="thin"/>
    </border>
    <border>
      <left style="medium">
        <color indexed="48"/>
      </left>
      <right style="thin"/>
      <top style="thin"/>
      <bottom style="thin"/>
    </border>
    <border>
      <left style="thin"/>
      <right style="medium">
        <color indexed="48"/>
      </right>
      <top style="thin"/>
      <bottom style="thin"/>
    </border>
    <border>
      <left style="medium">
        <color indexed="48"/>
      </left>
      <right style="thin"/>
      <top style="thin"/>
      <bottom style="medium">
        <color indexed="48"/>
      </bottom>
    </border>
    <border>
      <left style="thin"/>
      <right style="medium">
        <color indexed="48"/>
      </right>
      <top style="thin"/>
      <bottom style="medium">
        <color indexed="48"/>
      </bottom>
    </border>
    <border>
      <left style="medium">
        <color indexed="48"/>
      </left>
      <right>
        <color indexed="63"/>
      </right>
      <top style="medium">
        <color indexed="48"/>
      </top>
      <bottom>
        <color indexed="63"/>
      </bottom>
    </border>
    <border>
      <left>
        <color indexed="63"/>
      </left>
      <right>
        <color indexed="63"/>
      </right>
      <top>
        <color indexed="63"/>
      </top>
      <bottom style="medium">
        <color indexed="51"/>
      </bottom>
    </border>
    <border>
      <left style="thin"/>
      <right>
        <color indexed="63"/>
      </right>
      <top style="thin"/>
      <bottom style="thin"/>
    </border>
    <border>
      <left style="thin"/>
      <right>
        <color indexed="63"/>
      </right>
      <top style="thin"/>
      <bottom style="medium">
        <color indexed="51"/>
      </bottom>
    </border>
    <border>
      <left style="thin"/>
      <right style="medium">
        <color indexed="51"/>
      </right>
      <top style="thin"/>
      <bottom style="thin"/>
    </border>
    <border>
      <left style="dotted"/>
      <right style="dotted"/>
      <top style="medium">
        <color indexed="52"/>
      </top>
      <bottom style="hair"/>
    </border>
    <border>
      <left style="dotted"/>
      <right style="dotted"/>
      <top style="hair"/>
      <bottom style="hair"/>
    </border>
    <border>
      <left style="dotted"/>
      <right style="dotted"/>
      <top style="hair"/>
      <bottom style="medium">
        <color indexed="52"/>
      </bottom>
    </border>
    <border>
      <left style="dotted">
        <color indexed="62"/>
      </left>
      <right style="dotted"/>
      <top style="medium">
        <color indexed="62"/>
      </top>
      <bottom style="hair"/>
    </border>
    <border>
      <left style="dotted">
        <color indexed="62"/>
      </left>
      <right style="dotted"/>
      <top style="hair"/>
      <bottom style="hair"/>
    </border>
    <border>
      <left style="dotted">
        <color indexed="62"/>
      </left>
      <right style="dotted"/>
      <top style="hair"/>
      <bottom style="medium">
        <color indexed="62"/>
      </bottom>
    </border>
    <border>
      <left style="hair"/>
      <right style="hair"/>
      <top style="medium">
        <color indexed="51"/>
      </top>
      <bottom style="hair"/>
    </border>
    <border>
      <left style="hair"/>
      <right style="hair"/>
      <top>
        <color indexed="63"/>
      </top>
      <bottom style="hair"/>
    </border>
    <border>
      <left style="hair"/>
      <right style="hair"/>
      <top style="hair"/>
      <bottom style="medium">
        <color indexed="51"/>
      </bottom>
    </border>
    <border>
      <left style="thin"/>
      <right style="thin"/>
      <top style="medium"/>
      <bottom style="thin"/>
    </border>
    <border>
      <left style="medium"/>
      <right style="thin"/>
      <top style="medium"/>
      <bottom style="thin"/>
    </border>
    <border>
      <left/>
      <right>
        <color indexed="63"/>
      </right>
      <top style="thin">
        <color indexed="30"/>
      </top>
      <bottom style="thin">
        <color indexed="30"/>
      </bottom>
    </border>
    <border>
      <left>
        <color indexed="63"/>
      </left>
      <right style="thick">
        <color indexed="9"/>
      </right>
      <top>
        <color indexed="63"/>
      </top>
      <bottom>
        <color indexed="63"/>
      </bottom>
    </border>
    <border>
      <left style="hair"/>
      <right style="hair"/>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medium">
        <color indexed="51"/>
      </top>
      <bottom style="thin"/>
    </border>
    <border>
      <left style="thin"/>
      <right style="thin"/>
      <top style="thin"/>
      <bottom style="medium">
        <color indexed="48"/>
      </bottom>
    </border>
    <border>
      <left style="medium">
        <color indexed="16"/>
      </left>
      <right style="thin">
        <color indexed="16"/>
      </right>
      <top>
        <color indexed="63"/>
      </top>
      <bottom style="thin">
        <color indexed="16"/>
      </bottom>
    </border>
    <border>
      <left>
        <color indexed="63"/>
      </left>
      <right style="thin"/>
      <top style="medium">
        <color indexed="51"/>
      </top>
      <bottom style="thin"/>
    </border>
    <border>
      <left style="thin"/>
      <right>
        <color indexed="63"/>
      </right>
      <top>
        <color indexed="63"/>
      </top>
      <bottom>
        <color indexed="63"/>
      </bottom>
    </border>
    <border>
      <left style="medium">
        <color indexed="60"/>
      </left>
      <right style="thin"/>
      <top style="thin"/>
      <bottom style="thin"/>
    </border>
    <border>
      <left style="medium">
        <color indexed="60"/>
      </left>
      <right style="thin"/>
      <top style="thin"/>
      <bottom style="medium">
        <color indexed="60"/>
      </bottom>
    </border>
    <border>
      <left style="medium">
        <color indexed="60"/>
      </left>
      <right>
        <color indexed="63"/>
      </right>
      <top style="medium">
        <color indexed="60"/>
      </top>
      <bottom style="thin"/>
    </border>
    <border>
      <left style="thin">
        <color indexed="60"/>
      </left>
      <right style="thin">
        <color indexed="60"/>
      </right>
      <top style="medium">
        <color indexed="60"/>
      </top>
      <bottom style="thin"/>
    </border>
    <border>
      <left style="medium"/>
      <right style="thin"/>
      <top style="thin"/>
      <bottom style="thin"/>
    </border>
    <border>
      <left style="thin"/>
      <right style="medium">
        <color indexed="16"/>
      </right>
      <top style="thin"/>
      <bottom style="thin"/>
    </border>
    <border>
      <left style="thin"/>
      <right style="medium"/>
      <top style="thin"/>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color indexed="51"/>
      </left>
      <right style="medium">
        <color indexed="51"/>
      </right>
      <top style="medium">
        <color indexed="51"/>
      </top>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style="thin"/>
      <right>
        <color indexed="63"/>
      </right>
      <top>
        <color indexed="63"/>
      </top>
      <bottom style="thin"/>
    </border>
    <border>
      <left style="thin"/>
      <right style="thin"/>
      <top style="thin"/>
      <bottom style="medium"/>
    </border>
    <border>
      <left style="thin"/>
      <right style="thin"/>
      <top style="thin"/>
      <bottom style="medium">
        <color indexed="16"/>
      </bottom>
    </border>
    <border>
      <left style="thin"/>
      <right style="medium">
        <color indexed="16"/>
      </right>
      <top style="thin"/>
      <bottom style="medium">
        <color indexed="16"/>
      </bottom>
    </border>
    <border>
      <left style="thin">
        <color indexed="16"/>
      </left>
      <right style="thin">
        <color indexed="16"/>
      </right>
      <top>
        <color indexed="63"/>
      </top>
      <bottom style="thin">
        <color indexed="16"/>
      </bottom>
    </border>
    <border>
      <left style="thin">
        <color indexed="16"/>
      </left>
      <right style="thin">
        <color indexed="16"/>
      </right>
      <top style="thin">
        <color indexed="16"/>
      </top>
      <bottom style="thin">
        <color indexed="16"/>
      </bottom>
    </border>
    <border>
      <left style="thin">
        <color indexed="16"/>
      </left>
      <right style="medium">
        <color indexed="16"/>
      </right>
      <top style="medium">
        <color indexed="16"/>
      </top>
      <bottom style="thin">
        <color indexed="16"/>
      </bottom>
    </border>
    <border>
      <left style="thin">
        <color indexed="16"/>
      </left>
      <right style="thin">
        <color indexed="16"/>
      </right>
      <top style="medium"/>
      <bottom style="thin"/>
    </border>
    <border>
      <left style="thin">
        <color indexed="16"/>
      </left>
      <right style="medium">
        <color indexed="16"/>
      </right>
      <top style="medium"/>
      <bottom style="thin"/>
    </border>
    <border>
      <left style="medium"/>
      <right>
        <color indexed="63"/>
      </right>
      <top>
        <color indexed="63"/>
      </top>
      <bottom style="thin"/>
    </border>
    <border>
      <left style="thin">
        <color indexed="16"/>
      </left>
      <right style="thin">
        <color indexed="16"/>
      </right>
      <top style="thin">
        <color indexed="16"/>
      </top>
      <bottom>
        <color indexed="63"/>
      </bottom>
    </border>
    <border>
      <left style="thin"/>
      <right style="medium">
        <color indexed="60"/>
      </right>
      <top style="thin"/>
      <bottom style="thin"/>
    </border>
    <border>
      <left style="thin"/>
      <right style="thin"/>
      <top style="thin"/>
      <bottom style="medium">
        <color indexed="60"/>
      </bottom>
    </border>
    <border>
      <left style="thin"/>
      <right style="medium">
        <color indexed="60"/>
      </right>
      <top style="thin"/>
      <bottom style="medium">
        <color indexed="60"/>
      </bottom>
    </border>
    <border>
      <left style="thin">
        <color indexed="16"/>
      </left>
      <right style="thin">
        <color indexed="16"/>
      </right>
      <top style="medium">
        <color indexed="51"/>
      </top>
      <bottom style="thin"/>
    </border>
    <border>
      <left style="thin">
        <color indexed="16"/>
      </left>
      <right style="medium">
        <color indexed="51"/>
      </right>
      <top style="medium">
        <color indexed="51"/>
      </top>
      <bottom style="thin"/>
    </border>
    <border>
      <left style="thin">
        <color indexed="60"/>
      </left>
      <right style="thin">
        <color indexed="60"/>
      </right>
      <top style="thin">
        <color indexed="60"/>
      </top>
      <bottom style="thin">
        <color indexed="60"/>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thin">
        <color indexed="60"/>
      </right>
      <top style="thin">
        <color indexed="60"/>
      </top>
      <bottom style="medium">
        <color indexed="60"/>
      </bottom>
    </border>
    <border>
      <left style="thin">
        <color indexed="60"/>
      </left>
      <right style="medium">
        <color indexed="60"/>
      </right>
      <top style="thin">
        <color indexed="60"/>
      </top>
      <bottom style="medium">
        <color indexed="60"/>
      </bottom>
    </border>
    <border>
      <left style="medium">
        <color indexed="60"/>
      </left>
      <right style="medium">
        <color indexed="60"/>
      </right>
      <top style="medium">
        <color indexed="60"/>
      </top>
      <bottom style="medium">
        <color indexed="60"/>
      </bottom>
    </border>
    <border>
      <left style="medium">
        <color indexed="51"/>
      </left>
      <right style="medium">
        <color indexed="51"/>
      </right>
      <top style="medium">
        <color indexed="51"/>
      </top>
      <bottom style="medium">
        <color indexed="51"/>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right style="thin"/>
      <top>
        <color indexed="63"/>
      </top>
      <bottom>
        <color indexed="63"/>
      </bottom>
    </border>
    <border>
      <left>
        <color indexed="63"/>
      </left>
      <right style="medium">
        <color indexed="60"/>
      </right>
      <top style="medium">
        <color indexed="60"/>
      </top>
      <bottom>
        <color indexed="63"/>
      </bottom>
    </border>
    <border>
      <left style="thin"/>
      <right style="thin"/>
      <top style="thin"/>
      <bottom style="medium">
        <color indexed="51"/>
      </bottom>
    </border>
    <border>
      <left>
        <color indexed="63"/>
      </left>
      <right style="medium"/>
      <top style="thin"/>
      <bottom style="thin"/>
    </border>
    <border>
      <left style="medium">
        <color indexed="60"/>
      </left>
      <right style="dotted"/>
      <top style="medium">
        <color indexed="60"/>
      </top>
      <bottom style="hair"/>
    </border>
    <border>
      <left style="medium">
        <color indexed="60"/>
      </left>
      <right style="dotted"/>
      <top style="hair"/>
      <bottom style="hair"/>
    </border>
    <border>
      <left style="medium">
        <color indexed="60"/>
      </left>
      <right style="dotted"/>
      <top style="hair"/>
      <bottom style="medium">
        <color indexed="60"/>
      </bottom>
    </border>
    <border>
      <left style="medium">
        <color indexed="62"/>
      </left>
      <right>
        <color indexed="63"/>
      </right>
      <top style="medium">
        <color indexed="62"/>
      </top>
      <bottom style="hair"/>
    </border>
    <border>
      <left style="medium">
        <color indexed="62"/>
      </left>
      <right>
        <color indexed="63"/>
      </right>
      <top style="hair"/>
      <bottom style="hair"/>
    </border>
    <border>
      <left style="medium">
        <color indexed="62"/>
      </left>
      <right>
        <color indexed="63"/>
      </right>
      <top style="hair"/>
      <bottom style="medium">
        <color indexed="62"/>
      </bottom>
    </border>
    <border>
      <left style="medium">
        <color indexed="51"/>
      </left>
      <right style="hair"/>
      <top style="medium">
        <color indexed="51"/>
      </top>
      <bottom style="hair"/>
    </border>
    <border>
      <left style="medium">
        <color indexed="51"/>
      </left>
      <right style="hair"/>
      <top style="hair"/>
      <bottom style="hair"/>
    </border>
    <border>
      <left style="medium">
        <color indexed="51"/>
      </left>
      <right>
        <color indexed="63"/>
      </right>
      <top>
        <color indexed="63"/>
      </top>
      <bottom style="hair"/>
    </border>
    <border>
      <left style="medium">
        <color indexed="51"/>
      </left>
      <right>
        <color indexed="63"/>
      </right>
      <top>
        <color indexed="63"/>
      </top>
      <bottom style="thin"/>
    </border>
    <border>
      <left>
        <color indexed="63"/>
      </left>
      <right>
        <color indexed="63"/>
      </right>
      <top>
        <color indexed="63"/>
      </top>
      <bottom style="thin"/>
    </border>
    <border>
      <left style="medium">
        <color indexed="51"/>
      </left>
      <right style="medium">
        <color indexed="51"/>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color indexed="51"/>
      </right>
      <top>
        <color indexed="63"/>
      </top>
      <bottom style="thin"/>
    </border>
    <border>
      <left style="thin"/>
      <right style="medium">
        <color indexed="51"/>
      </right>
      <top style="thin"/>
      <bottom style="medium">
        <color indexed="51"/>
      </bottom>
    </border>
    <border>
      <left>
        <color indexed="63"/>
      </left>
      <right>
        <color indexed="63"/>
      </right>
      <top style="medium">
        <color rgb="FFFFC000"/>
      </top>
      <bottom>
        <color indexed="63"/>
      </bottom>
    </border>
    <border>
      <left style="thin"/>
      <right style="medium">
        <color indexed="51"/>
      </right>
      <top style="thin"/>
      <bottom style="medium">
        <color rgb="FFFFC000"/>
      </bottom>
    </border>
    <border>
      <left style="thin">
        <color indexed="16"/>
      </left>
      <right style="medium">
        <color indexed="16"/>
      </right>
      <top style="thin">
        <color indexed="16"/>
      </top>
      <bottom style="thin">
        <color indexed="16"/>
      </bottom>
    </border>
    <border>
      <left style="thin">
        <color indexed="16"/>
      </left>
      <right style="medium">
        <color indexed="16"/>
      </right>
      <top style="thin">
        <color indexed="16"/>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dotted"/>
      <top style="dotted"/>
      <bottom style="dotted"/>
    </border>
    <border>
      <left style="dotted"/>
      <right style="dotted"/>
      <top style="dotted"/>
      <bottom style="dotted"/>
    </border>
    <border>
      <left>
        <color indexed="63"/>
      </left>
      <right style="thin"/>
      <top style="thin"/>
      <bottom style="medium">
        <color indexed="51"/>
      </bottom>
    </border>
    <border>
      <left style="medium">
        <color indexed="51"/>
      </left>
      <right style="thin"/>
      <top style="thin"/>
      <bottom style="thin"/>
    </border>
    <border>
      <left style="medium">
        <color indexed="51"/>
      </left>
      <right style="medium">
        <color indexed="51"/>
      </right>
      <top style="thin"/>
      <bottom style="thin"/>
    </border>
    <border>
      <left style="medium">
        <color indexed="51"/>
      </left>
      <right style="medium">
        <color indexed="51"/>
      </right>
      <top style="thin"/>
      <bottom style="medium">
        <color indexed="51"/>
      </bottom>
    </border>
    <border>
      <left style="medium">
        <color indexed="16"/>
      </left>
      <right style="medium">
        <color indexed="16"/>
      </right>
      <top style="thin">
        <color indexed="16"/>
      </top>
      <bottom>
        <color indexed="63"/>
      </bottom>
    </border>
    <border>
      <left style="medium">
        <color indexed="16"/>
      </left>
      <right style="medium">
        <color indexed="16"/>
      </right>
      <top>
        <color indexed="63"/>
      </top>
      <bottom>
        <color indexed="63"/>
      </bottom>
    </border>
    <border>
      <left style="medium">
        <color indexed="16"/>
      </left>
      <right style="medium">
        <color indexed="16"/>
      </right>
      <top>
        <color indexed="63"/>
      </top>
      <bottom style="medium">
        <color indexed="16"/>
      </bottom>
    </border>
    <border>
      <left style="medium">
        <color indexed="51"/>
      </left>
      <right style="medium">
        <color indexed="51"/>
      </right>
      <top style="thin"/>
      <bottom>
        <color indexed="63"/>
      </bottom>
    </border>
    <border>
      <left style="medium">
        <color indexed="51"/>
      </left>
      <right style="thin"/>
      <top style="thin"/>
      <bottom>
        <color indexed="63"/>
      </bottom>
    </border>
    <border>
      <left style="medium">
        <color indexed="51"/>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51"/>
      </left>
      <right>
        <color indexed="63"/>
      </right>
      <top style="thin"/>
      <bottom style="medium">
        <color indexed="51"/>
      </bottom>
    </border>
    <border>
      <left>
        <color indexed="63"/>
      </left>
      <right>
        <color indexed="63"/>
      </right>
      <top style="thin"/>
      <bottom style="medium">
        <color indexed="51"/>
      </bottom>
    </border>
    <border>
      <left>
        <color indexed="63"/>
      </left>
      <right style="medium">
        <color indexed="51"/>
      </right>
      <top style="thin"/>
      <bottom style="medium">
        <color indexed="51"/>
      </bottom>
    </border>
    <border>
      <left style="thin"/>
      <right style="dotted"/>
      <top style="thin"/>
      <bottom style="dotted"/>
    </border>
    <border>
      <left style="dotted"/>
      <right style="dotted"/>
      <top style="thin"/>
      <bottom style="dotted"/>
    </border>
    <border>
      <left style="medium">
        <color indexed="48"/>
      </left>
      <right style="thin"/>
      <top style="medium">
        <color indexed="48"/>
      </top>
      <bottom style="thin"/>
    </border>
    <border>
      <left>
        <color indexed="63"/>
      </left>
      <right>
        <color indexed="63"/>
      </right>
      <top style="medium">
        <color indexed="60"/>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color indexed="51"/>
      </left>
      <right>
        <color indexed="63"/>
      </right>
      <top style="medium">
        <color indexed="51"/>
      </top>
      <bottom style="thin"/>
    </border>
    <border>
      <left>
        <color indexed="63"/>
      </left>
      <right>
        <color indexed="63"/>
      </right>
      <top style="medium">
        <color indexed="51"/>
      </top>
      <bottom style="thin"/>
    </border>
    <border>
      <left>
        <color indexed="63"/>
      </left>
      <right style="medium">
        <color indexed="51"/>
      </right>
      <top style="medium">
        <color indexed="51"/>
      </top>
      <bottom style="thin"/>
    </border>
    <border>
      <left style="medium">
        <color indexed="51"/>
      </left>
      <right>
        <color indexed="63"/>
      </right>
      <top style="thin"/>
      <bottom style="thin"/>
    </border>
    <border>
      <left>
        <color indexed="63"/>
      </left>
      <right style="medium">
        <color indexed="51"/>
      </right>
      <top style="thin"/>
      <bottom style="thin"/>
    </border>
    <border>
      <left style="thin"/>
      <right style="dotted"/>
      <top/>
      <bottom style="dotted"/>
    </border>
    <border>
      <left style="dotted"/>
      <right style="dotted"/>
      <top/>
      <bottom style="dotted"/>
    </border>
    <border>
      <left>
        <color indexed="63"/>
      </left>
      <right style="thin"/>
      <top>
        <color indexed="63"/>
      </top>
      <bottom>
        <color indexed="63"/>
      </bottom>
    </border>
    <border>
      <left>
        <color indexed="63"/>
      </left>
      <right style="medium">
        <color indexed="51"/>
      </right>
      <top>
        <color indexed="63"/>
      </top>
      <bottom>
        <color indexed="63"/>
      </bottom>
    </border>
    <border>
      <left style="medium">
        <color indexed="16"/>
      </left>
      <right>
        <color indexed="63"/>
      </right>
      <top style="medium">
        <color indexed="16"/>
      </top>
      <bottom style="thin">
        <color indexed="16"/>
      </bottom>
    </border>
    <border>
      <left>
        <color indexed="63"/>
      </left>
      <right>
        <color indexed="63"/>
      </right>
      <top style="medium">
        <color indexed="16"/>
      </top>
      <bottom style="thin">
        <color indexed="16"/>
      </bottom>
    </border>
    <border>
      <left>
        <color indexed="63"/>
      </left>
      <right style="medium">
        <color indexed="16"/>
      </right>
      <top style="medium">
        <color indexed="16"/>
      </top>
      <bottom>
        <color indexed="63"/>
      </bottom>
    </border>
    <border>
      <left style="medium">
        <color indexed="16"/>
      </left>
      <right>
        <color indexed="63"/>
      </right>
      <top style="medium">
        <color indexed="16"/>
      </top>
      <bottom style="thin"/>
    </border>
    <border>
      <left>
        <color indexed="63"/>
      </left>
      <right>
        <color indexed="63"/>
      </right>
      <top style="medium">
        <color indexed="16"/>
      </top>
      <bottom style="thin"/>
    </border>
    <border>
      <left>
        <color indexed="63"/>
      </left>
      <right style="medium">
        <color indexed="16"/>
      </right>
      <top style="medium">
        <color indexed="16"/>
      </top>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thick">
        <color indexed="9"/>
      </left>
      <right>
        <color indexed="63"/>
      </right>
      <top>
        <color indexed="63"/>
      </top>
      <bottom>
        <color indexed="63"/>
      </bottom>
    </border>
    <border>
      <left style="medium">
        <color indexed="51"/>
      </left>
      <right>
        <color indexed="63"/>
      </right>
      <top style="hair">
        <color indexed="51"/>
      </top>
      <bottom style="hair">
        <color indexed="51"/>
      </bottom>
    </border>
    <border>
      <left>
        <color indexed="63"/>
      </left>
      <right>
        <color indexed="63"/>
      </right>
      <top style="hair">
        <color indexed="51"/>
      </top>
      <bottom style="hair">
        <color indexed="51"/>
      </bottom>
    </border>
    <border>
      <left>
        <color indexed="63"/>
      </left>
      <right style="medium">
        <color indexed="51"/>
      </right>
      <top style="hair">
        <color indexed="51"/>
      </top>
      <bottom style="hair">
        <color indexed="51"/>
      </bottom>
    </border>
    <border>
      <left style="medium">
        <color indexed="51"/>
      </left>
      <right>
        <color indexed="63"/>
      </right>
      <top style="hair">
        <color indexed="51"/>
      </top>
      <bottom style="medium">
        <color indexed="51"/>
      </bottom>
    </border>
    <border>
      <left>
        <color indexed="63"/>
      </left>
      <right>
        <color indexed="63"/>
      </right>
      <top style="hair">
        <color indexed="51"/>
      </top>
      <bottom style="medium">
        <color indexed="51"/>
      </bottom>
    </border>
    <border>
      <left>
        <color indexed="63"/>
      </left>
      <right style="medium">
        <color indexed="51"/>
      </right>
      <top style="hair">
        <color indexed="51"/>
      </top>
      <bottom style="medium">
        <color indexed="51"/>
      </bottom>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medium">
        <color indexed="18"/>
      </left>
      <right>
        <color indexed="63"/>
      </right>
      <top style="medium">
        <color indexed="18"/>
      </top>
      <bottom style="hair">
        <color indexed="18"/>
      </bottom>
    </border>
    <border>
      <left>
        <color indexed="63"/>
      </left>
      <right>
        <color indexed="63"/>
      </right>
      <top style="medium">
        <color indexed="18"/>
      </top>
      <bottom style="hair">
        <color indexed="18"/>
      </bottom>
    </border>
    <border>
      <left>
        <color indexed="63"/>
      </left>
      <right style="medium">
        <color indexed="18"/>
      </right>
      <top style="medium">
        <color indexed="18"/>
      </top>
      <bottom style="hair">
        <color indexed="18"/>
      </bottom>
    </border>
    <border>
      <left style="medium">
        <color indexed="18"/>
      </left>
      <right>
        <color indexed="63"/>
      </right>
      <top style="hair">
        <color indexed="18"/>
      </top>
      <bottom style="medium">
        <color indexed="18"/>
      </bottom>
    </border>
    <border>
      <left>
        <color indexed="63"/>
      </left>
      <right>
        <color indexed="63"/>
      </right>
      <top style="hair">
        <color indexed="18"/>
      </top>
      <bottom style="medium">
        <color indexed="18"/>
      </bottom>
    </border>
    <border>
      <left>
        <color indexed="63"/>
      </left>
      <right style="medium">
        <color indexed="18"/>
      </right>
      <top style="hair">
        <color indexed="18"/>
      </top>
      <bottom style="medium">
        <color indexed="18"/>
      </bottom>
    </border>
    <border>
      <left style="medium">
        <color indexed="18"/>
      </left>
      <right>
        <color indexed="63"/>
      </right>
      <top style="hair">
        <color indexed="18"/>
      </top>
      <bottom style="hair">
        <color indexed="18"/>
      </bottom>
    </border>
    <border>
      <left>
        <color indexed="63"/>
      </left>
      <right>
        <color indexed="63"/>
      </right>
      <top style="hair">
        <color indexed="18"/>
      </top>
      <bottom style="hair">
        <color indexed="18"/>
      </bottom>
    </border>
    <border>
      <left>
        <color indexed="63"/>
      </left>
      <right style="medium">
        <color indexed="18"/>
      </right>
      <top style="hair">
        <color indexed="18"/>
      </top>
      <bottom style="hair">
        <color indexed="18"/>
      </bottom>
    </border>
    <border>
      <left/>
      <right>
        <color indexed="63"/>
      </right>
      <top/>
      <bottom style="medium">
        <color indexed="52"/>
      </bottom>
    </border>
    <border>
      <left>
        <color indexed="63"/>
      </left>
      <right style="medium">
        <color indexed="52"/>
      </right>
      <top/>
      <bottom style="medium">
        <color indexed="52"/>
      </bottom>
    </border>
    <border>
      <left style="medium">
        <color indexed="60"/>
      </left>
      <right>
        <color indexed="63"/>
      </right>
      <top style="hair"/>
      <bottom style="hair"/>
    </border>
    <border>
      <left>
        <color indexed="63"/>
      </left>
      <right>
        <color indexed="63"/>
      </right>
      <top style="hair"/>
      <bottom style="hair"/>
    </border>
    <border>
      <left>
        <color indexed="63"/>
      </left>
      <right style="medium">
        <color indexed="60"/>
      </right>
      <top style="hair"/>
      <bottom style="hair"/>
    </border>
    <border>
      <left style="medium">
        <color indexed="60"/>
      </left>
      <right>
        <color indexed="63"/>
      </right>
      <top>
        <color indexed="63"/>
      </top>
      <bottom style="medium">
        <color indexed="60"/>
      </bottom>
    </border>
    <border>
      <left>
        <color indexed="63"/>
      </left>
      <right style="medium">
        <color indexed="60"/>
      </right>
      <top/>
      <bottom style="medium">
        <color indexed="60"/>
      </bottom>
    </border>
    <border>
      <left>
        <color indexed="63"/>
      </left>
      <right/>
      <top style="hair">
        <color indexed="23"/>
      </top>
      <bottom style="medium">
        <color indexed="60"/>
      </bottom>
    </border>
    <border>
      <left>
        <color indexed="63"/>
      </left>
      <right style="medium">
        <color indexed="60"/>
      </right>
      <top style="hair">
        <color indexed="23"/>
      </top>
      <bottom style="medium">
        <color indexed="60"/>
      </bottom>
    </border>
    <border>
      <left/>
      <right/>
      <top style="hair">
        <color indexed="23"/>
      </top>
      <bottom style="hair">
        <color indexed="23"/>
      </bottom>
    </border>
    <border>
      <left>
        <color indexed="63"/>
      </left>
      <right style="medium">
        <color indexed="60"/>
      </right>
      <top style="hair">
        <color indexed="23"/>
      </top>
      <bottom style="hair">
        <color indexed="23"/>
      </bottom>
    </border>
    <border>
      <left style="medium">
        <color indexed="60"/>
      </left>
      <right>
        <color indexed="63"/>
      </right>
      <top>
        <color indexed="63"/>
      </top>
      <bottom style="hair"/>
    </border>
    <border>
      <left>
        <color indexed="63"/>
      </left>
      <right>
        <color indexed="63"/>
      </right>
      <top>
        <color indexed="63"/>
      </top>
      <bottom style="hair"/>
    </border>
    <border>
      <left>
        <color indexed="63"/>
      </left>
      <right style="medium">
        <color indexed="60"/>
      </right>
      <top>
        <color indexed="63"/>
      </top>
      <bottom style="hair"/>
    </border>
    <border>
      <left style="hair"/>
      <right>
        <color indexed="63"/>
      </right>
      <top style="hair"/>
      <bottom style="hair"/>
    </border>
    <border>
      <left>
        <color indexed="63"/>
      </left>
      <right style="medium">
        <color indexed="51"/>
      </right>
      <top style="hair"/>
      <bottom style="hair"/>
    </border>
    <border>
      <left style="medium">
        <color indexed="51"/>
      </left>
      <right>
        <color indexed="63"/>
      </right>
      <top style="medium">
        <color indexed="51"/>
      </top>
      <bottom style="hair">
        <color indexed="51"/>
      </bottom>
    </border>
    <border>
      <left>
        <color indexed="63"/>
      </left>
      <right>
        <color indexed="63"/>
      </right>
      <top style="medium">
        <color indexed="51"/>
      </top>
      <bottom style="hair">
        <color indexed="51"/>
      </bottom>
    </border>
    <border>
      <left>
        <color indexed="63"/>
      </left>
      <right style="medium">
        <color indexed="51"/>
      </right>
      <top style="medium">
        <color indexed="51"/>
      </top>
      <bottom style="hair">
        <color indexed="51"/>
      </bottom>
    </border>
    <border>
      <left>
        <color indexed="63"/>
      </left>
      <right style="medium">
        <color indexed="62"/>
      </right>
      <top style="hair">
        <color indexed="23"/>
      </top>
      <bottom style="hair">
        <color indexed="23"/>
      </bottom>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right>
        <color indexed="63"/>
      </right>
      <top style="medium">
        <color indexed="62"/>
      </top>
      <bottom style="hair">
        <color indexed="23"/>
      </bottom>
    </border>
    <border>
      <left>
        <color indexed="63"/>
      </left>
      <right style="medium">
        <color indexed="62"/>
      </right>
      <top style="medium">
        <color indexed="62"/>
      </top>
      <bottom style="hair">
        <color indexed="23"/>
      </bottom>
    </border>
    <border>
      <left/>
      <right/>
      <top style="hair">
        <color indexed="23"/>
      </top>
      <bottom style="medium">
        <color indexed="62"/>
      </bottom>
    </border>
    <border>
      <left>
        <color indexed="63"/>
      </left>
      <right style="medium">
        <color indexed="62"/>
      </right>
      <top style="hair">
        <color indexed="23"/>
      </top>
      <bottom style="medium">
        <color indexed="62"/>
      </bottom>
    </border>
    <border>
      <left style="medium">
        <color indexed="51"/>
      </left>
      <right>
        <color indexed="63"/>
      </right>
      <top style="medium">
        <color indexed="51"/>
      </top>
      <bottom style="medium">
        <color indexed="51"/>
      </bottom>
    </border>
    <border>
      <left>
        <color indexed="63"/>
      </left>
      <right>
        <color indexed="63"/>
      </right>
      <top style="medium">
        <color indexed="51"/>
      </top>
      <bottom style="medium">
        <color indexed="51"/>
      </bottom>
    </border>
    <border>
      <left>
        <color indexed="63"/>
      </left>
      <right style="medium">
        <color indexed="51"/>
      </right>
      <top style="medium">
        <color indexed="51"/>
      </top>
      <bottom style="medium">
        <color indexed="51"/>
      </bottom>
    </border>
    <border>
      <left style="hair"/>
      <right>
        <color indexed="63"/>
      </right>
      <top style="medium">
        <color indexed="51"/>
      </top>
      <bottom style="hair"/>
    </border>
    <border>
      <left>
        <color indexed="63"/>
      </left>
      <right>
        <color indexed="63"/>
      </right>
      <top style="medium">
        <color indexed="51"/>
      </top>
      <bottom style="hair"/>
    </border>
    <border>
      <left>
        <color indexed="63"/>
      </left>
      <right style="medium">
        <color indexed="51"/>
      </right>
      <top style="medium">
        <color indexed="51"/>
      </top>
      <bottom style="hair"/>
    </border>
    <border>
      <left style="hair">
        <color indexed="57"/>
      </left>
      <right style="medium">
        <color indexed="57"/>
      </right>
      <top style="medium">
        <color indexed="57"/>
      </top>
      <bottom style="medium">
        <color indexed="57"/>
      </bottom>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style="medium"/>
      <right style="hair"/>
      <top>
        <color indexed="63"/>
      </top>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color indexed="63"/>
      </right>
      <top>
        <color indexed="63"/>
      </top>
      <bottom style="hair"/>
    </border>
    <border>
      <left>
        <color indexed="63"/>
      </left>
      <right style="hair"/>
      <top>
        <color indexed="63"/>
      </top>
      <bottom style="hair"/>
    </border>
    <border>
      <left style="medium">
        <color indexed="57"/>
      </left>
      <right style="hair">
        <color indexed="57"/>
      </right>
      <top style="medium">
        <color indexed="57"/>
      </top>
      <bottom style="medium">
        <color indexed="57"/>
      </bottom>
    </border>
    <border>
      <left style="thin"/>
      <right style="thin"/>
      <top style="thin"/>
      <bottom>
        <color indexed="63"/>
      </bottom>
    </border>
    <border>
      <left style="medium">
        <color indexed="57"/>
      </left>
      <right>
        <color indexed="63"/>
      </right>
      <top style="medium">
        <color indexed="57"/>
      </top>
      <bottom style="medium">
        <color indexed="57"/>
      </bottom>
    </border>
    <border>
      <left>
        <color indexed="63"/>
      </left>
      <right>
        <color indexed="63"/>
      </right>
      <top style="medium">
        <color indexed="57"/>
      </top>
      <bottom style="medium">
        <color indexed="57"/>
      </bottom>
    </border>
    <border>
      <left>
        <color indexed="63"/>
      </left>
      <right style="medium">
        <color indexed="57"/>
      </right>
      <top style="medium">
        <color indexed="57"/>
      </top>
      <bottom style="medium">
        <color indexed="57"/>
      </bottom>
    </border>
    <border>
      <left style="medium"/>
      <right style="hair"/>
      <top style="hair"/>
      <bottom style="medium"/>
    </border>
    <border>
      <left style="hair"/>
      <right style="hair"/>
      <top style="hair"/>
      <bottom style="medium"/>
    </border>
    <border>
      <left style="medium"/>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top style="medium">
        <color indexed="57"/>
      </top>
      <bottom>
        <color indexed="63"/>
      </bottom>
    </border>
    <border>
      <left>
        <color indexed="63"/>
      </left>
      <right style="medium"/>
      <top>
        <color indexed="63"/>
      </top>
      <bottom style="hair"/>
    </border>
    <border>
      <left style="medium"/>
      <right>
        <color indexed="63"/>
      </right>
      <top style="hair"/>
      <bottom style="hair"/>
    </border>
    <border>
      <left style="medium"/>
      <right>
        <color indexed="63"/>
      </right>
      <top style="hair"/>
      <bottom style="medium"/>
    </border>
    <border>
      <left style="hair"/>
      <right style="medium"/>
      <top>
        <color indexed="63"/>
      </top>
      <bottom style="hair"/>
    </border>
    <border>
      <left style="hair"/>
      <right style="medium"/>
      <top style="hair"/>
      <bottom style="medium"/>
    </border>
  </borders>
  <cellStyleXfs count="1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8"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12" fillId="2" borderId="1" applyNumberFormat="0" applyAlignment="0" applyProtection="0"/>
    <xf numFmtId="0" fontId="12" fillId="10" borderId="1" applyNumberFormat="0" applyAlignment="0" applyProtection="0"/>
    <xf numFmtId="0" fontId="14" fillId="25" borderId="2" applyNumberFormat="0" applyAlignment="0" applyProtection="0"/>
    <xf numFmtId="0" fontId="13" fillId="0" borderId="3" applyNumberFormat="0" applyFill="0" applyAlignment="0" applyProtection="0"/>
    <xf numFmtId="0" fontId="14"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88" fontId="1" fillId="0" borderId="0" applyFont="0" applyFill="0" applyBorder="0" applyAlignment="0" applyProtection="0"/>
    <xf numFmtId="187" fontId="1" fillId="0" borderId="0" applyFont="0" applyFill="0" applyBorder="0" applyAlignment="0" applyProtection="0"/>
    <xf numFmtId="0" fontId="6" fillId="0" borderId="0" applyNumberFormat="0" applyFill="0" applyBorder="0" applyAlignment="0" applyProtection="0"/>
    <xf numFmtId="0" fontId="18" fillId="26" borderId="0" applyNumberFormat="0" applyBorder="0" applyAlignment="0" applyProtection="0"/>
    <xf numFmtId="0" fontId="18" fillId="17" borderId="0" applyNumberFormat="0" applyBorder="0" applyAlignment="0" applyProtection="0"/>
    <xf numFmtId="0" fontId="18" fillId="22"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0" fillId="3" borderId="1" applyNumberFormat="0" applyAlignment="0" applyProtection="0"/>
    <xf numFmtId="194" fontId="2" fillId="0" borderId="0" applyFont="0" applyFill="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7" fillId="8" borderId="0" applyNumberFormat="0" applyBorder="0" applyAlignment="0" applyProtection="0"/>
    <xf numFmtId="0" fontId="75" fillId="0" borderId="4" applyNumberFormat="0" applyFill="0" applyAlignment="0" applyProtection="0"/>
    <xf numFmtId="0" fontId="76"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43" fontId="1" fillId="0" borderId="0" applyNumberFormat="0" applyFill="0" applyBorder="0" applyAlignment="0" applyProtection="0"/>
    <xf numFmtId="0" fontId="8" fillId="7" borderId="0" applyNumberFormat="0" applyBorder="0" applyAlignment="0" applyProtection="0"/>
    <xf numFmtId="0" fontId="10" fillId="3" borderId="1" applyNumberFormat="0" applyAlignment="0" applyProtection="0"/>
    <xf numFmtId="0" fontId="13" fillId="0" borderId="3" applyNumberFormat="0" applyFill="0" applyAlignment="0" applyProtection="0"/>
    <xf numFmtId="43" fontId="2" fillId="0" borderId="0" applyFill="0" applyBorder="0" applyAlignment="0" applyProtection="0"/>
    <xf numFmtId="0" fontId="139" fillId="27" borderId="0" applyNumberFormat="0" applyBorder="0" applyAlignment="0" applyProtection="0"/>
    <xf numFmtId="43"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1" fillId="0" borderId="0">
      <alignment/>
      <protection/>
    </xf>
    <xf numFmtId="43" fontId="1"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0" fontId="2" fillId="0" borderId="0">
      <alignment/>
      <protection/>
    </xf>
    <xf numFmtId="0" fontId="1" fillId="4" borderId="7" applyNumberFormat="0" applyFont="0" applyAlignment="0" applyProtection="0"/>
    <xf numFmtId="0" fontId="2" fillId="4" borderId="7" applyNumberFormat="0" applyFont="0" applyAlignment="0" applyProtection="0"/>
    <xf numFmtId="0" fontId="11" fillId="2"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10"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 fillId="0" borderId="9" applyNumberFormat="0" applyFill="0" applyAlignment="0" applyProtection="0"/>
    <xf numFmtId="0" fontId="5" fillId="0" borderId="5" applyNumberFormat="0" applyFill="0" applyAlignment="0" applyProtection="0"/>
    <xf numFmtId="0" fontId="6"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1" fillId="0" borderId="10" applyNumberFormat="0" applyFill="0" applyAlignment="0" applyProtection="0"/>
    <xf numFmtId="43" fontId="1"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0" fontId="140" fillId="0" borderId="11" applyNumberFormat="0" applyFill="0" applyAlignment="0" applyProtection="0"/>
    <xf numFmtId="0" fontId="77" fillId="0" borderId="0" applyNumberFormat="0" applyFill="0" applyBorder="0" applyAlignment="0" applyProtection="0"/>
  </cellStyleXfs>
  <cellXfs count="902">
    <xf numFmtId="0" fontId="0" fillId="0" borderId="0" xfId="0" applyFont="1" applyAlignment="1">
      <alignment/>
    </xf>
    <xf numFmtId="43" fontId="19" fillId="0" borderId="0" xfId="90" applyFont="1" applyFill="1" applyAlignment="1">
      <alignment vertical="center"/>
      <protection/>
    </xf>
    <xf numFmtId="0" fontId="0" fillId="0" borderId="0" xfId="0" applyBorder="1" applyAlignment="1" applyProtection="1">
      <alignment/>
      <protection/>
    </xf>
    <xf numFmtId="0" fontId="0" fillId="0" borderId="0" xfId="0" applyAlignment="1" applyProtection="1">
      <alignment/>
      <protection/>
    </xf>
    <xf numFmtId="43" fontId="25" fillId="0" borderId="0" xfId="90" applyFont="1" applyFill="1" applyAlignment="1" applyProtection="1">
      <alignment vertical="center"/>
      <protection/>
    </xf>
    <xf numFmtId="0" fontId="24" fillId="0" borderId="0" xfId="0" applyFont="1" applyAlignment="1" applyProtection="1">
      <alignment/>
      <protection/>
    </xf>
    <xf numFmtId="43" fontId="22" fillId="0" borderId="0" xfId="101" applyFont="1" applyFill="1" applyAlignment="1" applyProtection="1">
      <alignment/>
      <protection/>
    </xf>
    <xf numFmtId="43" fontId="22" fillId="0" borderId="0" xfId="101" applyFont="1" applyFill="1" applyAlignment="1" applyProtection="1">
      <alignment horizontal="center"/>
      <protection/>
    </xf>
    <xf numFmtId="43" fontId="22" fillId="0" borderId="0" xfId="101" applyFont="1" applyFill="1" applyAlignment="1" applyProtection="1">
      <alignment horizontal="right"/>
      <protection/>
    </xf>
    <xf numFmtId="43" fontId="22" fillId="0" borderId="0" xfId="101" applyFont="1" applyFill="1" applyBorder="1" applyAlignment="1" applyProtection="1">
      <alignment horizontal="center"/>
      <protection/>
    </xf>
    <xf numFmtId="43" fontId="0" fillId="0" borderId="0" xfId="100" applyProtection="1">
      <alignment/>
      <protection/>
    </xf>
    <xf numFmtId="43" fontId="18" fillId="0" borderId="0" xfId="100" applyFont="1" applyProtection="1">
      <alignment/>
      <protection/>
    </xf>
    <xf numFmtId="0" fontId="21" fillId="0" borderId="0" xfId="100" applyNumberFormat="1" applyFont="1" applyBorder="1" applyProtection="1">
      <alignment/>
      <protection/>
    </xf>
    <xf numFmtId="43" fontId="0" fillId="0" borderId="0" xfId="102" applyProtection="1">
      <alignment/>
      <protection/>
    </xf>
    <xf numFmtId="43" fontId="0" fillId="0" borderId="0" xfId="102" applyFill="1" applyBorder="1" applyAlignment="1" applyProtection="1">
      <alignment horizontal="left"/>
      <protection/>
    </xf>
    <xf numFmtId="0" fontId="0" fillId="0" borderId="0" xfId="0" applyFill="1" applyBorder="1" applyAlignment="1" applyProtection="1">
      <alignment/>
      <protection/>
    </xf>
    <xf numFmtId="43" fontId="0" fillId="0" borderId="0" xfId="102" applyFill="1" applyBorder="1" applyProtection="1">
      <alignment/>
      <protection/>
    </xf>
    <xf numFmtId="0" fontId="18" fillId="0" borderId="0" xfId="0" applyFont="1" applyAlignment="1" applyProtection="1">
      <alignment/>
      <protection/>
    </xf>
    <xf numFmtId="43" fontId="18" fillId="0" borderId="0" xfId="102" applyFont="1" applyProtection="1">
      <alignment/>
      <protection/>
    </xf>
    <xf numFmtId="0" fontId="0" fillId="0" borderId="0" xfId="0" applyBorder="1" applyAlignment="1">
      <alignment/>
    </xf>
    <xf numFmtId="0" fontId="0" fillId="0" borderId="0" xfId="0" applyFill="1" applyBorder="1" applyAlignment="1">
      <alignment/>
    </xf>
    <xf numFmtId="0" fontId="38" fillId="0" borderId="0" xfId="0" applyFont="1" applyAlignment="1">
      <alignment/>
    </xf>
    <xf numFmtId="15" fontId="32" fillId="0" borderId="0" xfId="0" applyNumberFormat="1" applyFont="1" applyFill="1" applyBorder="1" applyAlignment="1" applyProtection="1">
      <alignment horizontal="center" vertical="center" wrapText="1"/>
      <protection locked="0"/>
    </xf>
    <xf numFmtId="43" fontId="31" fillId="0" borderId="0" xfId="0" applyNumberFormat="1" applyFont="1" applyAlignment="1">
      <alignment/>
    </xf>
    <xf numFmtId="43" fontId="31" fillId="0" borderId="0" xfId="0" applyNumberFormat="1" applyFont="1" applyAlignment="1">
      <alignment horizontal="right"/>
    </xf>
    <xf numFmtId="189" fontId="31" fillId="0" borderId="0" xfId="64" applyNumberFormat="1" applyFont="1" applyAlignment="1">
      <alignment horizontal="left"/>
    </xf>
    <xf numFmtId="43" fontId="19" fillId="0" borderId="0" xfId="99" applyFont="1" applyFill="1" applyAlignment="1">
      <alignment vertical="center"/>
      <protection/>
    </xf>
    <xf numFmtId="0" fontId="0" fillId="0" borderId="12" xfId="0" applyBorder="1" applyAlignment="1">
      <alignment horizontal="center"/>
    </xf>
    <xf numFmtId="0" fontId="17" fillId="0" borderId="0" xfId="0" applyFont="1" applyBorder="1" applyAlignment="1">
      <alignment horizontal="center"/>
    </xf>
    <xf numFmtId="0" fontId="1" fillId="0" borderId="0" xfId="0" applyFont="1" applyBorder="1" applyAlignment="1">
      <alignment/>
    </xf>
    <xf numFmtId="0" fontId="1" fillId="0" borderId="0" xfId="0" applyFont="1" applyFill="1" applyBorder="1" applyAlignment="1">
      <alignment/>
    </xf>
    <xf numFmtId="0" fontId="46" fillId="0" borderId="0" xfId="0" applyFont="1" applyAlignment="1">
      <alignment/>
    </xf>
    <xf numFmtId="0" fontId="46" fillId="0" borderId="0" xfId="0" applyFont="1" applyAlignment="1">
      <alignment horizontal="right"/>
    </xf>
    <xf numFmtId="0" fontId="46" fillId="0" borderId="0" xfId="0" applyFont="1" applyBorder="1" applyAlignment="1">
      <alignment/>
    </xf>
    <xf numFmtId="0" fontId="49" fillId="0" borderId="0" xfId="0" applyFont="1" applyAlignment="1">
      <alignment/>
    </xf>
    <xf numFmtId="0" fontId="46" fillId="0" borderId="0" xfId="0" applyNumberFormat="1" applyFont="1" applyBorder="1" applyAlignment="1">
      <alignment/>
    </xf>
    <xf numFmtId="0" fontId="0" fillId="0" borderId="0" xfId="0" applyFill="1" applyAlignment="1">
      <alignment/>
    </xf>
    <xf numFmtId="10" fontId="9" fillId="0" borderId="0" xfId="110" applyNumberFormat="1" applyFont="1" applyFill="1" applyBorder="1" applyAlignment="1">
      <alignment horizontal="center"/>
    </xf>
    <xf numFmtId="10" fontId="9" fillId="0" borderId="0" xfId="110" applyNumberFormat="1" applyFont="1" applyFill="1" applyBorder="1" applyAlignment="1" applyProtection="1">
      <alignment horizontal="center"/>
      <protection locked="0"/>
    </xf>
    <xf numFmtId="43" fontId="31" fillId="0" borderId="0" xfId="0" applyNumberFormat="1" applyFont="1" applyFill="1" applyBorder="1" applyAlignment="1">
      <alignment/>
    </xf>
    <xf numFmtId="43" fontId="0" fillId="0" borderId="0" xfId="134" applyFill="1" applyBorder="1" applyAlignment="1" applyProtection="1">
      <alignment vertical="center"/>
      <protection locked="0"/>
    </xf>
    <xf numFmtId="186" fontId="36" fillId="0" borderId="0" xfId="0" applyNumberFormat="1" applyFont="1" applyFill="1" applyBorder="1" applyAlignment="1">
      <alignment horizontal="center"/>
    </xf>
    <xf numFmtId="0" fontId="29" fillId="0" borderId="0" xfId="0" applyFont="1" applyFill="1" applyBorder="1" applyAlignment="1">
      <alignment horizontal="centerContinuous"/>
    </xf>
    <xf numFmtId="0" fontId="0" fillId="0" borderId="0" xfId="0" applyFill="1" applyBorder="1" applyAlignment="1">
      <alignment horizontal="centerContinuous"/>
    </xf>
    <xf numFmtId="43" fontId="42" fillId="0" borderId="0" xfId="134" applyFont="1" applyFill="1" applyBorder="1" applyAlignment="1" applyProtection="1">
      <alignment vertical="center"/>
      <protection locked="0"/>
    </xf>
    <xf numFmtId="0" fontId="0" fillId="0" borderId="12" xfId="0" applyBorder="1" applyAlignment="1">
      <alignment/>
    </xf>
    <xf numFmtId="0" fontId="0" fillId="0" borderId="0" xfId="0" applyFill="1" applyBorder="1" applyAlignment="1">
      <alignment horizontal="center"/>
    </xf>
    <xf numFmtId="22" fontId="0" fillId="0" borderId="0" xfId="0" applyNumberFormat="1" applyAlignment="1">
      <alignment/>
    </xf>
    <xf numFmtId="2" fontId="0" fillId="0" borderId="0" xfId="0" applyNumberFormat="1" applyFill="1" applyAlignment="1">
      <alignment/>
    </xf>
    <xf numFmtId="2" fontId="0" fillId="0" borderId="0" xfId="128" applyNumberFormat="1" applyFill="1" applyBorder="1" applyAlignment="1" applyProtection="1">
      <alignment horizontal="center"/>
      <protection locked="0"/>
    </xf>
    <xf numFmtId="0" fontId="18" fillId="0" borderId="0" xfId="0" applyFont="1" applyFill="1" applyBorder="1" applyAlignment="1" applyProtection="1">
      <alignment horizontal="center"/>
      <protection/>
    </xf>
    <xf numFmtId="0" fontId="26" fillId="0" borderId="0" xfId="0" applyFont="1" applyFill="1" applyAlignment="1" applyProtection="1">
      <alignment/>
      <protection/>
    </xf>
    <xf numFmtId="0" fontId="18" fillId="0" borderId="0" xfId="0" applyFont="1" applyAlignment="1" applyProtection="1">
      <alignment horizontal="left" indent="1"/>
      <protection/>
    </xf>
    <xf numFmtId="0" fontId="21" fillId="0" borderId="0" xfId="0" applyFont="1" applyAlignment="1" applyProtection="1">
      <alignment horizontal="left" indent="1"/>
      <protection/>
    </xf>
    <xf numFmtId="0" fontId="18" fillId="0" borderId="0" xfId="0" applyFont="1" applyFill="1" applyBorder="1" applyAlignment="1" applyProtection="1">
      <alignment/>
      <protection/>
    </xf>
    <xf numFmtId="43" fontId="71" fillId="0" borderId="0" xfId="100" applyFont="1" applyProtection="1">
      <alignment/>
      <protection/>
    </xf>
    <xf numFmtId="43" fontId="71" fillId="0" borderId="0" xfId="102" applyFont="1" applyProtection="1">
      <alignment/>
      <protection/>
    </xf>
    <xf numFmtId="0" fontId="71" fillId="0" borderId="12" xfId="0" applyFont="1" applyFill="1" applyBorder="1" applyAlignment="1" applyProtection="1">
      <alignment horizontal="center"/>
      <protection/>
    </xf>
    <xf numFmtId="0" fontId="71" fillId="0" borderId="12" xfId="0" applyFont="1" applyFill="1" applyBorder="1" applyAlignment="1" applyProtection="1">
      <alignment/>
      <protection/>
    </xf>
    <xf numFmtId="43" fontId="71" fillId="0" borderId="12" xfId="102" applyFont="1" applyBorder="1" applyProtection="1">
      <alignment/>
      <protection/>
    </xf>
    <xf numFmtId="0" fontId="72" fillId="0" borderId="12" xfId="0" applyFont="1" applyBorder="1" applyAlignment="1" applyProtection="1">
      <alignment horizontal="left" indent="1"/>
      <protection/>
    </xf>
    <xf numFmtId="0" fontId="1" fillId="0" borderId="12" xfId="0" applyFont="1" applyBorder="1" applyAlignment="1">
      <alignment/>
    </xf>
    <xf numFmtId="0" fontId="73" fillId="10" borderId="12" xfId="0" applyFont="1" applyFill="1" applyBorder="1" applyAlignment="1" applyProtection="1">
      <alignment horizontal="center"/>
      <protection/>
    </xf>
    <xf numFmtId="0" fontId="73" fillId="10" borderId="12" xfId="0" applyFont="1" applyFill="1" applyBorder="1" applyAlignment="1">
      <alignment horizontal="center"/>
    </xf>
    <xf numFmtId="0" fontId="24" fillId="0" borderId="0" xfId="0" applyFont="1" applyAlignment="1">
      <alignment/>
    </xf>
    <xf numFmtId="3" fontId="18" fillId="2" borderId="13" xfId="0" applyNumberFormat="1" applyFont="1" applyFill="1" applyBorder="1" applyAlignment="1">
      <alignment horizontal="right"/>
    </xf>
    <xf numFmtId="3" fontId="18" fillId="2" borderId="13" xfId="64" applyNumberFormat="1" applyFont="1" applyFill="1" applyBorder="1" applyAlignment="1">
      <alignment/>
    </xf>
    <xf numFmtId="9" fontId="18" fillId="2" borderId="13" xfId="110" applyFont="1" applyFill="1" applyBorder="1" applyAlignment="1">
      <alignment/>
    </xf>
    <xf numFmtId="9" fontId="18" fillId="2" borderId="13" xfId="110" applyNumberFormat="1" applyFont="1" applyFill="1" applyBorder="1" applyAlignment="1">
      <alignment/>
    </xf>
    <xf numFmtId="0" fontId="18" fillId="2" borderId="13" xfId="0" applyFont="1" applyFill="1" applyBorder="1" applyAlignment="1">
      <alignment/>
    </xf>
    <xf numFmtId="9" fontId="18" fillId="2" borderId="13" xfId="110" applyFont="1" applyFill="1" applyBorder="1" applyAlignment="1">
      <alignment horizontal="center"/>
    </xf>
    <xf numFmtId="0" fontId="18" fillId="0" borderId="0" xfId="0" applyFont="1" applyAlignment="1">
      <alignment/>
    </xf>
    <xf numFmtId="0" fontId="37" fillId="0" borderId="0" xfId="0" applyFont="1" applyAlignment="1">
      <alignment horizontal="center"/>
    </xf>
    <xf numFmtId="43" fontId="64" fillId="0" borderId="0" xfId="99" applyFont="1" applyFill="1" applyAlignment="1">
      <alignment vertical="center"/>
      <protection/>
    </xf>
    <xf numFmtId="0" fontId="17" fillId="0" borderId="0" xfId="0" applyFont="1" applyAlignment="1">
      <alignment/>
    </xf>
    <xf numFmtId="0" fontId="49" fillId="0" borderId="0" xfId="0" applyFont="1" applyFill="1" applyAlignment="1">
      <alignment/>
    </xf>
    <xf numFmtId="0" fontId="80" fillId="10" borderId="14" xfId="0" applyFont="1" applyFill="1" applyBorder="1" applyAlignment="1">
      <alignment vertical="center"/>
    </xf>
    <xf numFmtId="0" fontId="78" fillId="0" borderId="0" xfId="106" applyNumberFormat="1" applyFont="1" applyFill="1" applyBorder="1" applyAlignment="1">
      <alignment horizontal="center" vertical="center" wrapText="1"/>
      <protection/>
    </xf>
    <xf numFmtId="0" fontId="78" fillId="8" borderId="15" xfId="106" applyNumberFormat="1" applyFont="1" applyFill="1" applyBorder="1" applyAlignment="1">
      <alignment horizontal="center" vertical="center" wrapText="1"/>
      <protection/>
    </xf>
    <xf numFmtId="15" fontId="0" fillId="0" borderId="0" xfId="0" applyNumberFormat="1" applyFont="1" applyFill="1" applyBorder="1" applyAlignment="1">
      <alignment horizontal="center"/>
    </xf>
    <xf numFmtId="1" fontId="24" fillId="0" borderId="0" xfId="0" applyNumberFormat="1" applyFont="1" applyFill="1" applyBorder="1" applyAlignment="1">
      <alignment horizontal="center"/>
    </xf>
    <xf numFmtId="1" fontId="83" fillId="2" borderId="0" xfId="0" applyNumberFormat="1" applyFont="1" applyFill="1" applyBorder="1" applyAlignment="1">
      <alignment horizontal="center"/>
    </xf>
    <xf numFmtId="0" fontId="83" fillId="0" borderId="0" xfId="0" applyFont="1" applyFill="1" applyBorder="1" applyAlignment="1" applyProtection="1">
      <alignment horizontal="left"/>
      <protection/>
    </xf>
    <xf numFmtId="0" fontId="84" fillId="0" borderId="0" xfId="0" applyFont="1" applyAlignment="1">
      <alignment/>
    </xf>
    <xf numFmtId="43" fontId="42" fillId="0" borderId="0" xfId="134" applyFont="1" applyFill="1" applyBorder="1" applyAlignment="1" applyProtection="1">
      <alignment horizontal="center" vertical="center"/>
      <protection locked="0"/>
    </xf>
    <xf numFmtId="15" fontId="0" fillId="0" borderId="0" xfId="0" applyNumberFormat="1" applyAlignment="1">
      <alignment/>
    </xf>
    <xf numFmtId="0" fontId="0" fillId="0" borderId="12" xfId="0" applyNumberFormat="1" applyBorder="1" applyAlignment="1" quotePrefix="1">
      <alignment/>
    </xf>
    <xf numFmtId="43" fontId="34" fillId="0" borderId="16" xfId="134" applyFont="1" applyBorder="1" applyAlignment="1" applyProtection="1">
      <alignment/>
      <protection/>
    </xf>
    <xf numFmtId="43" fontId="0" fillId="0" borderId="16" xfId="134" applyFill="1" applyBorder="1" applyAlignment="1" applyProtection="1">
      <alignment vertical="center"/>
      <protection/>
    </xf>
    <xf numFmtId="43" fontId="1" fillId="0" borderId="16" xfId="134" applyFont="1" applyFill="1" applyBorder="1" applyAlignment="1" applyProtection="1">
      <alignment vertical="center"/>
      <protection/>
    </xf>
    <xf numFmtId="43" fontId="34" fillId="0" borderId="0" xfId="134" applyFont="1" applyBorder="1" applyAlignment="1" applyProtection="1">
      <alignment/>
      <protection/>
    </xf>
    <xf numFmtId="43" fontId="0" fillId="0" borderId="0" xfId="134" applyFill="1" applyBorder="1" applyAlignment="1" applyProtection="1">
      <alignment vertical="center"/>
      <protection/>
    </xf>
    <xf numFmtId="43" fontId="1" fillId="0" borderId="0" xfId="134" applyFont="1" applyFill="1" applyBorder="1" applyAlignment="1" applyProtection="1">
      <alignment vertical="center"/>
      <protection/>
    </xf>
    <xf numFmtId="0" fontId="36" fillId="0" borderId="17" xfId="0" applyFont="1" applyBorder="1" applyAlignment="1" applyProtection="1">
      <alignment horizontal="center"/>
      <protection/>
    </xf>
    <xf numFmtId="15" fontId="36" fillId="0" borderId="18" xfId="0" applyNumberFormat="1" applyFont="1" applyBorder="1" applyAlignment="1" applyProtection="1">
      <alignment horizontal="center"/>
      <protection/>
    </xf>
    <xf numFmtId="0" fontId="36" fillId="0" borderId="19" xfId="0" applyFont="1" applyBorder="1" applyAlignment="1" applyProtection="1">
      <alignment horizontal="center"/>
      <protection/>
    </xf>
    <xf numFmtId="189" fontId="18" fillId="0" borderId="0" xfId="0" applyNumberFormat="1" applyFont="1" applyFill="1" applyBorder="1" applyAlignment="1" applyProtection="1">
      <alignment/>
      <protection/>
    </xf>
    <xf numFmtId="0" fontId="9" fillId="0" borderId="0" xfId="0" applyFont="1" applyFill="1" applyBorder="1" applyAlignment="1" applyProtection="1">
      <alignment horizontal="centerContinuous"/>
      <protection/>
    </xf>
    <xf numFmtId="10" fontId="9" fillId="0" borderId="0" xfId="110" applyNumberFormat="1" applyFont="1" applyFill="1" applyBorder="1" applyAlignment="1" applyProtection="1">
      <alignment horizontal="center"/>
      <protection/>
    </xf>
    <xf numFmtId="0" fontId="9" fillId="0" borderId="0" xfId="0" applyFont="1" applyFill="1" applyBorder="1" applyAlignment="1" applyProtection="1">
      <alignment/>
      <protection/>
    </xf>
    <xf numFmtId="0" fontId="29" fillId="0" borderId="0" xfId="0" applyFont="1" applyFill="1" applyBorder="1" applyAlignment="1" applyProtection="1">
      <alignment horizontal="centerContinuous" wrapText="1"/>
      <protection/>
    </xf>
    <xf numFmtId="0" fontId="29" fillId="0" borderId="0" xfId="0" applyFont="1" applyFill="1" applyBorder="1" applyAlignment="1" applyProtection="1">
      <alignment horizontal="centerContinuous"/>
      <protection/>
    </xf>
    <xf numFmtId="0" fontId="0" fillId="0" borderId="0" xfId="0" applyFill="1" applyBorder="1" applyAlignment="1" applyProtection="1">
      <alignment horizontal="centerContinuous"/>
      <protection/>
    </xf>
    <xf numFmtId="15" fontId="29" fillId="0" borderId="20" xfId="0" applyNumberFormat="1" applyFont="1" applyFill="1" applyBorder="1" applyAlignment="1" applyProtection="1">
      <alignment/>
      <protection/>
    </xf>
    <xf numFmtId="0" fontId="29" fillId="0" borderId="20" xfId="0" applyFont="1" applyFill="1" applyBorder="1" applyAlignment="1" applyProtection="1">
      <alignment/>
      <protection/>
    </xf>
    <xf numFmtId="0" fontId="29" fillId="0" borderId="21" xfId="0" applyFont="1" applyFill="1" applyBorder="1" applyAlignment="1" applyProtection="1">
      <alignment/>
      <protection/>
    </xf>
    <xf numFmtId="43" fontId="41" fillId="0" borderId="22" xfId="134" applyFont="1" applyBorder="1" applyAlignment="1" applyProtection="1">
      <alignment/>
      <protection/>
    </xf>
    <xf numFmtId="43" fontId="42" fillId="0" borderId="22" xfId="134" applyFont="1" applyFill="1" applyBorder="1" applyAlignment="1" applyProtection="1">
      <alignment vertical="center"/>
      <protection/>
    </xf>
    <xf numFmtId="43" fontId="42" fillId="0" borderId="22" xfId="134" applyFont="1" applyFill="1" applyBorder="1" applyAlignment="1" applyProtection="1">
      <alignment horizontal="center" vertical="center"/>
      <protection/>
    </xf>
    <xf numFmtId="43" fontId="42" fillId="0" borderId="0" xfId="134" applyFont="1" applyFill="1" applyBorder="1" applyAlignment="1" applyProtection="1">
      <alignment vertical="center"/>
      <protection/>
    </xf>
    <xf numFmtId="43" fontId="41" fillId="0" borderId="0" xfId="134" applyFont="1" applyBorder="1" applyAlignment="1" applyProtection="1">
      <alignment/>
      <protection/>
    </xf>
    <xf numFmtId="43" fontId="43" fillId="0" borderId="0" xfId="134" applyFont="1" applyFill="1" applyBorder="1" applyAlignment="1" applyProtection="1">
      <alignment vertical="center"/>
      <protection/>
    </xf>
    <xf numFmtId="0" fontId="17" fillId="0" borderId="0" xfId="0" applyFont="1" applyBorder="1" applyAlignment="1" applyProtection="1">
      <alignment horizontal="center"/>
      <protection/>
    </xf>
    <xf numFmtId="0" fontId="0" fillId="0" borderId="23" xfId="0" applyBorder="1" applyAlignment="1" applyProtection="1">
      <alignment horizontal="center"/>
      <protection/>
    </xf>
    <xf numFmtId="0" fontId="17" fillId="0" borderId="23" xfId="0" applyFont="1" applyBorder="1" applyAlignment="1" applyProtection="1">
      <alignment horizontal="center"/>
      <protection/>
    </xf>
    <xf numFmtId="0" fontId="17" fillId="0" borderId="23" xfId="0" applyFont="1" applyBorder="1" applyAlignment="1" applyProtection="1">
      <alignment horizontal="center" wrapText="1"/>
      <protection/>
    </xf>
    <xf numFmtId="0" fontId="17" fillId="0" borderId="24" xfId="0" applyFont="1" applyBorder="1" applyAlignment="1" applyProtection="1">
      <alignment horizontal="center"/>
      <protection/>
    </xf>
    <xf numFmtId="0" fontId="17" fillId="0" borderId="25" xfId="0" applyFont="1" applyBorder="1" applyAlignment="1" applyProtection="1">
      <alignment horizontal="center"/>
      <protection/>
    </xf>
    <xf numFmtId="1" fontId="24" fillId="2" borderId="26" xfId="0" applyNumberFormat="1" applyFont="1" applyFill="1" applyBorder="1" applyAlignment="1" applyProtection="1">
      <alignment horizontal="center"/>
      <protection/>
    </xf>
    <xf numFmtId="0" fontId="17" fillId="0" borderId="27" xfId="0" applyFont="1" applyBorder="1" applyAlignment="1" applyProtection="1">
      <alignment horizontal="center"/>
      <protection/>
    </xf>
    <xf numFmtId="1" fontId="24" fillId="2" borderId="28" xfId="0" applyNumberFormat="1" applyFont="1" applyFill="1" applyBorder="1" applyAlignment="1" applyProtection="1">
      <alignment horizontal="center"/>
      <protection/>
    </xf>
    <xf numFmtId="0" fontId="0" fillId="0" borderId="29" xfId="0" applyBorder="1" applyAlignment="1" applyProtection="1">
      <alignment/>
      <protection/>
    </xf>
    <xf numFmtId="0" fontId="0" fillId="0" borderId="24" xfId="0" applyBorder="1" applyAlignment="1" applyProtection="1">
      <alignment horizontal="center"/>
      <protection/>
    </xf>
    <xf numFmtId="0" fontId="0" fillId="0" borderId="27" xfId="0" applyBorder="1" applyAlignment="1" applyProtection="1">
      <alignment horizontal="center"/>
      <protection/>
    </xf>
    <xf numFmtId="0" fontId="36" fillId="0" borderId="23" xfId="0" applyFont="1" applyBorder="1" applyAlignment="1" applyProtection="1">
      <alignment horizontal="center"/>
      <protection/>
    </xf>
    <xf numFmtId="0" fontId="36" fillId="0" borderId="24" xfId="0" applyFont="1" applyBorder="1" applyAlignment="1" applyProtection="1">
      <alignment horizontal="center"/>
      <protection/>
    </xf>
    <xf numFmtId="0" fontId="0" fillId="0" borderId="0" xfId="0" applyFill="1" applyBorder="1" applyAlignment="1" applyProtection="1">
      <alignment horizontal="center" wrapText="1"/>
      <protection/>
    </xf>
    <xf numFmtId="43" fontId="1" fillId="0" borderId="0" xfId="64" applyFont="1" applyFill="1" applyBorder="1" applyAlignment="1" applyProtection="1">
      <alignment/>
      <protection/>
    </xf>
    <xf numFmtId="43" fontId="0" fillId="0" borderId="0" xfId="0" applyNumberFormat="1" applyFill="1" applyBorder="1" applyAlignment="1" applyProtection="1">
      <alignment/>
      <protection/>
    </xf>
    <xf numFmtId="43" fontId="70" fillId="0" borderId="30" xfId="134" applyFont="1" applyFill="1" applyBorder="1" applyAlignment="1" applyProtection="1">
      <alignment/>
      <protection/>
    </xf>
    <xf numFmtId="43" fontId="42" fillId="0" borderId="30" xfId="134" applyFont="1" applyFill="1" applyBorder="1" applyAlignment="1" applyProtection="1">
      <alignment vertical="center"/>
      <protection/>
    </xf>
    <xf numFmtId="0" fontId="2" fillId="0" borderId="31" xfId="0" applyFont="1" applyFill="1" applyBorder="1" applyAlignment="1" applyProtection="1">
      <alignment/>
      <protection/>
    </xf>
    <xf numFmtId="0" fontId="2" fillId="0" borderId="32" xfId="0" applyFont="1" applyFill="1" applyBorder="1" applyAlignment="1" applyProtection="1">
      <alignment/>
      <protection/>
    </xf>
    <xf numFmtId="3" fontId="2" fillId="12" borderId="12" xfId="0" applyNumberFormat="1" applyFont="1" applyFill="1" applyBorder="1" applyAlignment="1" applyProtection="1">
      <alignment vertical="center"/>
      <protection locked="0"/>
    </xf>
    <xf numFmtId="3" fontId="2" fillId="12" borderId="33" xfId="0" applyNumberFormat="1" applyFont="1" applyFill="1" applyBorder="1" applyAlignment="1" applyProtection="1">
      <alignment vertical="center"/>
      <protection locked="0"/>
    </xf>
    <xf numFmtId="43" fontId="31" fillId="0" borderId="0" xfId="0" applyNumberFormat="1" applyFont="1" applyAlignment="1" applyProtection="1">
      <alignment horizontal="right"/>
      <protection/>
    </xf>
    <xf numFmtId="189" fontId="31" fillId="0" borderId="0" xfId="64" applyNumberFormat="1" applyFont="1" applyAlignment="1" applyProtection="1">
      <alignment horizontal="left"/>
      <protection/>
    </xf>
    <xf numFmtId="15" fontId="31" fillId="0" borderId="0" xfId="0" applyNumberFormat="1" applyFont="1" applyAlignment="1" applyProtection="1">
      <alignment horizontal="left"/>
      <protection/>
    </xf>
    <xf numFmtId="15" fontId="31" fillId="0" borderId="0" xfId="0" applyNumberFormat="1" applyFont="1" applyAlignment="1" applyProtection="1">
      <alignment horizontal="right"/>
      <protection/>
    </xf>
    <xf numFmtId="43" fontId="31" fillId="0" borderId="0" xfId="0" applyNumberFormat="1" applyFont="1" applyAlignment="1" applyProtection="1">
      <alignment/>
      <protection/>
    </xf>
    <xf numFmtId="43" fontId="31" fillId="0" borderId="0" xfId="0" applyNumberFormat="1" applyFont="1" applyBorder="1" applyAlignment="1" applyProtection="1">
      <alignment/>
      <protection/>
    </xf>
    <xf numFmtId="43" fontId="31" fillId="0" borderId="0" xfId="0" applyNumberFormat="1" applyFont="1" applyBorder="1" applyAlignment="1" applyProtection="1">
      <alignment horizontal="right"/>
      <protection/>
    </xf>
    <xf numFmtId="189" fontId="31" fillId="0" borderId="0" xfId="64" applyNumberFormat="1" applyFont="1" applyBorder="1" applyAlignment="1" applyProtection="1">
      <alignment horizontal="left"/>
      <protection/>
    </xf>
    <xf numFmtId="0" fontId="22" fillId="0" borderId="0" xfId="0" applyFont="1" applyBorder="1" applyAlignment="1" applyProtection="1">
      <alignment horizontal="center"/>
      <protection/>
    </xf>
    <xf numFmtId="0" fontId="22" fillId="0" borderId="0" xfId="0" applyFont="1" applyAlignment="1" applyProtection="1">
      <alignment horizontal="center"/>
      <protection/>
    </xf>
    <xf numFmtId="0" fontId="38" fillId="0" borderId="0" xfId="0" applyFont="1" applyBorder="1" applyAlignment="1" applyProtection="1">
      <alignment/>
      <protection/>
    </xf>
    <xf numFmtId="0" fontId="38" fillId="0" borderId="12" xfId="0" applyFont="1" applyBorder="1" applyAlignment="1" applyProtection="1">
      <alignment horizontal="center" vertical="center" wrapText="1"/>
      <protection/>
    </xf>
    <xf numFmtId="3" fontId="31" fillId="0" borderId="12" xfId="0" applyNumberFormat="1" applyFont="1" applyBorder="1" applyAlignment="1" applyProtection="1">
      <alignment vertical="center" wrapText="1"/>
      <protection/>
    </xf>
    <xf numFmtId="15" fontId="29" fillId="0" borderId="0" xfId="0" applyNumberFormat="1" applyFont="1" applyFill="1" applyBorder="1" applyAlignment="1" applyProtection="1">
      <alignment/>
      <protection/>
    </xf>
    <xf numFmtId="15" fontId="29" fillId="0" borderId="0" xfId="0" applyNumberFormat="1" applyFont="1" applyFill="1" applyBorder="1" applyAlignment="1" applyProtection="1">
      <alignment horizontal="center" wrapText="1"/>
      <protection/>
    </xf>
    <xf numFmtId="0" fontId="29" fillId="0" borderId="0" xfId="0" applyFont="1" applyFill="1" applyBorder="1" applyAlignment="1" applyProtection="1">
      <alignment/>
      <protection/>
    </xf>
    <xf numFmtId="0" fontId="0" fillId="0" borderId="0" xfId="0" applyFill="1" applyBorder="1" applyAlignment="1" applyProtection="1">
      <alignment horizontal="center"/>
      <protection/>
    </xf>
    <xf numFmtId="0" fontId="29" fillId="0" borderId="0" xfId="0" applyFont="1" applyFill="1" applyBorder="1" applyAlignment="1" applyProtection="1">
      <alignment/>
      <protection/>
    </xf>
    <xf numFmtId="0" fontId="0" fillId="0" borderId="24" xfId="0" applyBorder="1" applyAlignment="1" applyProtection="1">
      <alignment horizontal="center" wrapText="1"/>
      <protection/>
    </xf>
    <xf numFmtId="0" fontId="46" fillId="0" borderId="0" xfId="0" applyFont="1" applyAlignment="1" applyProtection="1">
      <alignment/>
      <protection/>
    </xf>
    <xf numFmtId="0" fontId="46" fillId="0" borderId="0" xfId="0" applyFont="1" applyAlignment="1" applyProtection="1">
      <alignment horizontal="right"/>
      <protection/>
    </xf>
    <xf numFmtId="0" fontId="46" fillId="0" borderId="0" xfId="0" applyFont="1" applyBorder="1" applyAlignment="1" applyProtection="1">
      <alignment/>
      <protection/>
    </xf>
    <xf numFmtId="0" fontId="48" fillId="0" borderId="0" xfId="0" applyFont="1" applyBorder="1" applyAlignment="1" applyProtection="1">
      <alignment horizontal="left" vertical="center"/>
      <protection/>
    </xf>
    <xf numFmtId="0" fontId="48" fillId="0" borderId="0" xfId="0" applyFont="1" applyBorder="1" applyAlignment="1" applyProtection="1">
      <alignment horizontal="left"/>
      <protection/>
    </xf>
    <xf numFmtId="190" fontId="48" fillId="0" borderId="0" xfId="0" applyNumberFormat="1" applyFont="1" applyBorder="1" applyAlignment="1" applyProtection="1">
      <alignment horizontal="left"/>
      <protection/>
    </xf>
    <xf numFmtId="0" fontId="49" fillId="0" borderId="0" xfId="0" applyFont="1" applyAlignment="1" applyProtection="1">
      <alignment/>
      <protection/>
    </xf>
    <xf numFmtId="0" fontId="50" fillId="0" borderId="0" xfId="0" applyFont="1" applyFill="1" applyBorder="1" applyAlignment="1" applyProtection="1">
      <alignment/>
      <protection/>
    </xf>
    <xf numFmtId="0" fontId="51" fillId="0" borderId="0" xfId="0" applyFont="1" applyFill="1" applyBorder="1" applyAlignment="1" applyProtection="1">
      <alignment/>
      <protection/>
    </xf>
    <xf numFmtId="0" fontId="53" fillId="0" borderId="0" xfId="0" applyFont="1" applyFill="1" applyBorder="1" applyAlignment="1" applyProtection="1">
      <alignment horizontal="right"/>
      <protection/>
    </xf>
    <xf numFmtId="0" fontId="54" fillId="0" borderId="0" xfId="0" applyFont="1" applyFill="1" applyBorder="1" applyAlignment="1" applyProtection="1">
      <alignment horizontal="center"/>
      <protection/>
    </xf>
    <xf numFmtId="0" fontId="38" fillId="0" borderId="0" xfId="0" applyFont="1" applyBorder="1" applyAlignment="1" applyProtection="1">
      <alignment horizontal="center" vertical="center"/>
      <protection/>
    </xf>
    <xf numFmtId="0" fontId="55" fillId="2" borderId="0" xfId="0" applyFont="1" applyFill="1" applyBorder="1" applyAlignment="1" applyProtection="1">
      <alignment horizontal="left" vertical="center"/>
      <protection/>
    </xf>
    <xf numFmtId="3" fontId="60" fillId="0" borderId="0" xfId="0" applyNumberFormat="1" applyFont="1" applyFill="1" applyBorder="1" applyAlignment="1" applyProtection="1">
      <alignment horizontal="right" vertical="center"/>
      <protection/>
    </xf>
    <xf numFmtId="0" fontId="61" fillId="2" borderId="0" xfId="0" applyFont="1" applyFill="1" applyBorder="1" applyAlignment="1" applyProtection="1">
      <alignment horizontal="left" vertical="center"/>
      <protection/>
    </xf>
    <xf numFmtId="192" fontId="55" fillId="2" borderId="0" xfId="0" applyNumberFormat="1" applyFont="1" applyFill="1" applyBorder="1" applyAlignment="1" applyProtection="1">
      <alignment vertical="center"/>
      <protection/>
    </xf>
    <xf numFmtId="0" fontId="56" fillId="2" borderId="0" xfId="0" applyNumberFormat="1" applyFont="1" applyFill="1" applyBorder="1" applyAlignment="1" applyProtection="1">
      <alignment horizontal="right"/>
      <protection/>
    </xf>
    <xf numFmtId="0" fontId="66" fillId="2" borderId="0" xfId="0" applyFont="1" applyFill="1" applyBorder="1" applyAlignment="1" applyProtection="1">
      <alignment horizontal="center" vertical="center"/>
      <protection/>
    </xf>
    <xf numFmtId="0" fontId="57" fillId="2" borderId="0" xfId="0" applyFont="1" applyFill="1" applyBorder="1" applyAlignment="1" applyProtection="1">
      <alignment horizontal="center" vertical="center"/>
      <protection/>
    </xf>
    <xf numFmtId="191" fontId="55" fillId="2" borderId="0" xfId="110" applyNumberFormat="1" applyFont="1" applyFill="1" applyBorder="1" applyAlignment="1" applyProtection="1">
      <alignment horizontal="right"/>
      <protection/>
    </xf>
    <xf numFmtId="9" fontId="58" fillId="2" borderId="0" xfId="0" applyNumberFormat="1" applyFont="1" applyFill="1" applyBorder="1" applyAlignment="1" applyProtection="1">
      <alignment/>
      <protection/>
    </xf>
    <xf numFmtId="0" fontId="59" fillId="2" borderId="0" xfId="0" applyFont="1" applyFill="1" applyBorder="1" applyAlignment="1" applyProtection="1">
      <alignment horizontal="center" vertical="center"/>
      <protection/>
    </xf>
    <xf numFmtId="9" fontId="58" fillId="2" borderId="0" xfId="0" applyNumberFormat="1" applyFont="1" applyFill="1" applyBorder="1" applyAlignment="1" applyProtection="1">
      <alignment horizontal="left"/>
      <protection/>
    </xf>
    <xf numFmtId="0" fontId="67"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right" vertical="center" indent="1"/>
      <protection/>
    </xf>
    <xf numFmtId="0" fontId="56" fillId="0" borderId="34" xfId="0" applyNumberFormat="1" applyFont="1" applyFill="1" applyBorder="1" applyAlignment="1" applyProtection="1">
      <alignment horizontal="right"/>
      <protection/>
    </xf>
    <xf numFmtId="0" fontId="56" fillId="0" borderId="35" xfId="0" applyNumberFormat="1" applyFont="1" applyFill="1" applyBorder="1" applyAlignment="1" applyProtection="1">
      <alignment horizontal="right"/>
      <protection/>
    </xf>
    <xf numFmtId="0" fontId="56" fillId="0" borderId="36" xfId="0" applyNumberFormat="1" applyFont="1" applyFill="1" applyBorder="1" applyAlignment="1" applyProtection="1">
      <alignment horizontal="right"/>
      <protection/>
    </xf>
    <xf numFmtId="0" fontId="65" fillId="0" borderId="0" xfId="0" applyFont="1" applyFill="1" applyBorder="1" applyAlignment="1" applyProtection="1">
      <alignment horizontal="center"/>
      <protection/>
    </xf>
    <xf numFmtId="0" fontId="56" fillId="0" borderId="0" xfId="0" applyNumberFormat="1" applyFont="1" applyFill="1" applyBorder="1" applyAlignment="1" applyProtection="1">
      <alignment horizontal="right"/>
      <protection/>
    </xf>
    <xf numFmtId="0" fontId="66" fillId="0" borderId="0" xfId="0" applyFont="1" applyFill="1" applyBorder="1" applyAlignment="1" applyProtection="1">
      <alignment horizontal="center" vertical="center"/>
      <protection/>
    </xf>
    <xf numFmtId="9" fontId="69" fillId="0" borderId="0" xfId="0" applyNumberFormat="1" applyFont="1" applyFill="1" applyBorder="1" applyAlignment="1" applyProtection="1">
      <alignment/>
      <protection/>
    </xf>
    <xf numFmtId="9" fontId="69" fillId="0" borderId="0" xfId="0" applyNumberFormat="1" applyFont="1" applyFill="1" applyBorder="1" applyAlignment="1" applyProtection="1">
      <alignment horizontal="center"/>
      <protection/>
    </xf>
    <xf numFmtId="0" fontId="56" fillId="0" borderId="37" xfId="0" applyNumberFormat="1" applyFont="1" applyFill="1" applyBorder="1" applyAlignment="1" applyProtection="1">
      <alignment horizontal="right"/>
      <protection/>
    </xf>
    <xf numFmtId="9" fontId="58" fillId="0" borderId="0" xfId="0" applyNumberFormat="1" applyFont="1" applyFill="1" applyBorder="1" applyAlignment="1" applyProtection="1">
      <alignment/>
      <protection/>
    </xf>
    <xf numFmtId="0" fontId="56" fillId="0" borderId="38" xfId="0" applyNumberFormat="1" applyFont="1" applyFill="1" applyBorder="1" applyAlignment="1" applyProtection="1">
      <alignment horizontal="right"/>
      <protection/>
    </xf>
    <xf numFmtId="0" fontId="56" fillId="0" borderId="39" xfId="0" applyNumberFormat="1" applyFont="1" applyFill="1" applyBorder="1" applyAlignment="1" applyProtection="1">
      <alignment horizontal="right"/>
      <protection/>
    </xf>
    <xf numFmtId="0" fontId="38" fillId="0" borderId="40" xfId="0" applyNumberFormat="1" applyFont="1" applyFill="1" applyBorder="1" applyAlignment="1" applyProtection="1">
      <alignment vertical="center"/>
      <protection/>
    </xf>
    <xf numFmtId="0" fontId="38" fillId="0" borderId="41" xfId="0" applyNumberFormat="1" applyFont="1" applyFill="1" applyBorder="1" applyAlignment="1" applyProtection="1">
      <alignment vertical="center"/>
      <protection/>
    </xf>
    <xf numFmtId="0" fontId="38" fillId="0" borderId="42" xfId="0" applyNumberFormat="1" applyFont="1" applyFill="1" applyBorder="1" applyAlignment="1" applyProtection="1">
      <alignment vertical="center"/>
      <protection/>
    </xf>
    <xf numFmtId="0" fontId="47" fillId="0" borderId="0" xfId="0" applyFont="1" applyAlignment="1" applyProtection="1">
      <alignment/>
      <protection/>
    </xf>
    <xf numFmtId="0" fontId="68" fillId="0" borderId="0" xfId="0" applyFont="1" applyAlignment="1" applyProtection="1">
      <alignment/>
      <protection/>
    </xf>
    <xf numFmtId="0" fontId="62" fillId="0" borderId="0" xfId="0" applyFont="1" applyAlignment="1" applyProtection="1">
      <alignment/>
      <protection/>
    </xf>
    <xf numFmtId="0" fontId="74" fillId="0" borderId="0" xfId="0" applyFont="1" applyBorder="1" applyAlignment="1" applyProtection="1">
      <alignment wrapText="1"/>
      <protection/>
    </xf>
    <xf numFmtId="0" fontId="71" fillId="0" borderId="0" xfId="0" applyFont="1" applyFill="1" applyBorder="1" applyAlignment="1" applyProtection="1">
      <alignment/>
      <protection/>
    </xf>
    <xf numFmtId="43" fontId="18" fillId="0" borderId="0" xfId="0" applyNumberFormat="1" applyFont="1" applyAlignment="1">
      <alignment/>
    </xf>
    <xf numFmtId="0" fontId="31" fillId="0" borderId="0" xfId="0" applyNumberFormat="1" applyFont="1" applyAlignment="1" applyProtection="1">
      <alignment horizontal="center"/>
      <protection/>
    </xf>
    <xf numFmtId="0" fontId="31" fillId="0" borderId="0" xfId="0" applyFont="1" applyAlignment="1" applyProtection="1">
      <alignment horizontal="center"/>
      <protection/>
    </xf>
    <xf numFmtId="15" fontId="31" fillId="0" borderId="0" xfId="0" applyNumberFormat="1" applyFont="1" applyAlignment="1" applyProtection="1">
      <alignment horizontal="center"/>
      <protection/>
    </xf>
    <xf numFmtId="43" fontId="0" fillId="0" borderId="0" xfId="0" applyNumberFormat="1" applyAlignment="1" applyProtection="1">
      <alignment horizontal="right"/>
      <protection/>
    </xf>
    <xf numFmtId="3" fontId="0" fillId="0" borderId="0" xfId="0" applyNumberFormat="1" applyAlignment="1" applyProtection="1">
      <alignment/>
      <protection/>
    </xf>
    <xf numFmtId="43" fontId="40" fillId="0" borderId="0" xfId="0" applyNumberFormat="1" applyFont="1" applyBorder="1" applyAlignment="1" applyProtection="1">
      <alignment/>
      <protection/>
    </xf>
    <xf numFmtId="43" fontId="40" fillId="0" borderId="0" xfId="0" applyNumberFormat="1" applyFont="1" applyAlignment="1" applyProtection="1">
      <alignment/>
      <protection/>
    </xf>
    <xf numFmtId="189" fontId="9" fillId="0" borderId="0" xfId="64" applyNumberFormat="1" applyFont="1" applyFill="1" applyBorder="1" applyAlignment="1" applyProtection="1">
      <alignment/>
      <protection locked="0"/>
    </xf>
    <xf numFmtId="189" fontId="9" fillId="0" borderId="0" xfId="64" applyNumberFormat="1" applyFont="1" applyFill="1" applyBorder="1" applyAlignment="1" applyProtection="1">
      <alignment/>
      <protection locked="0"/>
    </xf>
    <xf numFmtId="0" fontId="0" fillId="0" borderId="0" xfId="0" applyBorder="1" applyAlignment="1">
      <alignment horizontal="center"/>
    </xf>
    <xf numFmtId="0" fontId="18" fillId="2" borderId="0" xfId="0" applyFont="1" applyFill="1" applyAlignment="1">
      <alignment/>
    </xf>
    <xf numFmtId="186" fontId="18" fillId="2" borderId="0" xfId="0" applyNumberFormat="1" applyFont="1" applyFill="1" applyAlignment="1">
      <alignment/>
    </xf>
    <xf numFmtId="189" fontId="18" fillId="2" borderId="0" xfId="0" applyNumberFormat="1" applyFont="1" applyFill="1" applyAlignment="1">
      <alignment/>
    </xf>
    <xf numFmtId="3" fontId="18" fillId="2" borderId="0" xfId="0" applyNumberFormat="1" applyFont="1" applyFill="1" applyAlignment="1" applyProtection="1">
      <alignment/>
      <protection/>
    </xf>
    <xf numFmtId="186" fontId="18" fillId="2" borderId="0" xfId="0" applyNumberFormat="1" applyFont="1" applyFill="1" applyAlignment="1" applyProtection="1">
      <alignment/>
      <protection/>
    </xf>
    <xf numFmtId="0" fontId="38" fillId="0" borderId="0" xfId="0" applyFont="1" applyFill="1" applyAlignment="1" applyProtection="1">
      <alignment horizontal="left"/>
      <protection locked="0"/>
    </xf>
    <xf numFmtId="0" fontId="38" fillId="0" borderId="0" xfId="0" applyFont="1" applyFill="1" applyBorder="1" applyAlignment="1" applyProtection="1">
      <alignment horizontal="left"/>
      <protection locked="0"/>
    </xf>
    <xf numFmtId="0" fontId="31" fillId="0" borderId="0" xfId="0" applyFont="1" applyFill="1" applyBorder="1" applyAlignment="1">
      <alignment vertical="center" wrapText="1"/>
    </xf>
    <xf numFmtId="0" fontId="31" fillId="0" borderId="0" xfId="0" applyFont="1" applyFill="1" applyBorder="1" applyAlignment="1">
      <alignment horizontal="center"/>
    </xf>
    <xf numFmtId="0" fontId="0" fillId="2" borderId="0" xfId="0" applyFill="1" applyBorder="1" applyAlignment="1">
      <alignment horizontal="center"/>
    </xf>
    <xf numFmtId="0" fontId="31" fillId="0" borderId="43" xfId="0" applyFont="1" applyFill="1" applyBorder="1" applyAlignment="1" applyProtection="1">
      <alignment horizontal="center" wrapText="1"/>
      <protection/>
    </xf>
    <xf numFmtId="0" fontId="31" fillId="0" borderId="44" xfId="0" applyFont="1" applyFill="1" applyBorder="1" applyAlignment="1" applyProtection="1">
      <alignment horizontal="center" wrapText="1"/>
      <protection/>
    </xf>
    <xf numFmtId="0" fontId="0" fillId="0" borderId="44" xfId="0" applyBorder="1" applyAlignment="1" applyProtection="1">
      <alignment/>
      <protection/>
    </xf>
    <xf numFmtId="43" fontId="20" fillId="0" borderId="0" xfId="98" applyFont="1" applyFill="1" applyAlignment="1" applyProtection="1">
      <alignment horizontal="center" vertical="center"/>
      <protection/>
    </xf>
    <xf numFmtId="43" fontId="19" fillId="0" borderId="0" xfId="98" applyFont="1" applyFill="1" applyAlignment="1" applyProtection="1">
      <alignment vertical="center"/>
      <protection/>
    </xf>
    <xf numFmtId="0" fontId="85" fillId="0" borderId="0" xfId="0" applyFont="1" applyAlignment="1">
      <alignment/>
    </xf>
    <xf numFmtId="43" fontId="17" fillId="0" borderId="0" xfId="0" applyNumberFormat="1" applyFont="1" applyAlignment="1" applyProtection="1">
      <alignment horizontal="center"/>
      <protection/>
    </xf>
    <xf numFmtId="43" fontId="23" fillId="0" borderId="45" xfId="128" applyFont="1" applyBorder="1" applyAlignment="1" applyProtection="1">
      <alignment horizontal="right"/>
      <protection/>
    </xf>
    <xf numFmtId="0" fontId="15" fillId="0" borderId="0" xfId="0" applyFont="1" applyAlignment="1">
      <alignment/>
    </xf>
    <xf numFmtId="0" fontId="0" fillId="2" borderId="0" xfId="0" applyFill="1" applyAlignment="1" applyProtection="1">
      <alignment/>
      <protection/>
    </xf>
    <xf numFmtId="0" fontId="0" fillId="2" borderId="46" xfId="0" applyFill="1" applyBorder="1" applyAlignment="1" applyProtection="1">
      <alignment/>
      <protection/>
    </xf>
    <xf numFmtId="43" fontId="91" fillId="0" borderId="0" xfId="0" applyNumberFormat="1" applyFont="1" applyAlignment="1">
      <alignment/>
    </xf>
    <xf numFmtId="0" fontId="91" fillId="0" borderId="0" xfId="0" applyFont="1" applyAlignment="1">
      <alignment/>
    </xf>
    <xf numFmtId="43" fontId="0" fillId="0" borderId="0" xfId="0" applyNumberFormat="1" applyAlignment="1" quotePrefix="1">
      <alignment/>
    </xf>
    <xf numFmtId="43" fontId="0" fillId="0" borderId="0" xfId="0" applyNumberFormat="1" applyAlignment="1">
      <alignment/>
    </xf>
    <xf numFmtId="0" fontId="38" fillId="0" borderId="47" xfId="0" applyNumberFormat="1" applyFont="1" applyFill="1" applyBorder="1" applyAlignment="1" applyProtection="1">
      <alignment vertical="center"/>
      <protection/>
    </xf>
    <xf numFmtId="43" fontId="0" fillId="0" borderId="0" xfId="103" applyFill="1" applyBorder="1" applyAlignment="1" applyProtection="1">
      <alignment horizontal="center"/>
      <protection/>
    </xf>
    <xf numFmtId="0" fontId="38" fillId="0" borderId="0" xfId="0" applyFont="1" applyAlignment="1" applyProtection="1" quotePrefix="1">
      <alignment/>
      <protection/>
    </xf>
    <xf numFmtId="0" fontId="66" fillId="0" borderId="31" xfId="0" applyFont="1" applyBorder="1" applyAlignment="1">
      <alignment horizontal="justify" vertical="center" wrapText="1"/>
    </xf>
    <xf numFmtId="0" fontId="66" fillId="0" borderId="48" xfId="0" applyFont="1" applyBorder="1" applyAlignment="1">
      <alignment horizontal="justify" vertical="center" wrapText="1"/>
    </xf>
    <xf numFmtId="0" fontId="66" fillId="0" borderId="49" xfId="0" applyFont="1" applyBorder="1" applyAlignment="1">
      <alignment horizontal="justify" vertical="center" wrapText="1"/>
    </xf>
    <xf numFmtId="0" fontId="90" fillId="0" borderId="48" xfId="0" applyFont="1" applyBorder="1" applyAlignment="1">
      <alignment horizontal="justify" vertical="center" wrapText="1"/>
    </xf>
    <xf numFmtId="43" fontId="92" fillId="0" borderId="30" xfId="134" applyFont="1" applyFill="1" applyBorder="1" applyAlignment="1" applyProtection="1">
      <alignment/>
      <protection/>
    </xf>
    <xf numFmtId="43" fontId="12" fillId="0" borderId="30" xfId="134" applyFont="1" applyFill="1" applyBorder="1" applyAlignment="1" applyProtection="1">
      <alignment vertical="center"/>
      <protection/>
    </xf>
    <xf numFmtId="3" fontId="2" fillId="28" borderId="12" xfId="0" applyNumberFormat="1" applyFont="1" applyFill="1" applyBorder="1" applyAlignment="1" applyProtection="1">
      <alignment vertical="center"/>
      <protection locked="0"/>
    </xf>
    <xf numFmtId="0" fontId="89" fillId="0" borderId="31" xfId="0" applyFont="1" applyBorder="1" applyAlignment="1">
      <alignment vertical="center" wrapText="1"/>
    </xf>
    <xf numFmtId="0" fontId="89" fillId="0" borderId="48" xfId="0" applyFont="1" applyBorder="1" applyAlignment="1">
      <alignment vertical="center" wrapText="1"/>
    </xf>
    <xf numFmtId="0" fontId="2" fillId="0" borderId="50"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1" fillId="0" borderId="0" xfId="0" applyFont="1" applyAlignment="1">
      <alignment/>
    </xf>
    <xf numFmtId="0" fontId="1" fillId="0" borderId="0" xfId="0" applyFont="1" applyAlignment="1">
      <alignment/>
    </xf>
    <xf numFmtId="0" fontId="66" fillId="12" borderId="31" xfId="0" applyFont="1" applyFill="1" applyBorder="1" applyAlignment="1">
      <alignment horizontal="justify" vertical="center" wrapText="1"/>
    </xf>
    <xf numFmtId="0" fontId="90" fillId="12" borderId="48" xfId="0" applyFont="1" applyFill="1" applyBorder="1" applyAlignment="1">
      <alignment horizontal="justify" vertical="center" wrapText="1"/>
    </xf>
    <xf numFmtId="0" fontId="90" fillId="12" borderId="49" xfId="0" applyFont="1" applyFill="1" applyBorder="1" applyAlignment="1">
      <alignment horizontal="justify" vertical="center" wrapText="1"/>
    </xf>
    <xf numFmtId="0" fontId="66" fillId="0" borderId="31" xfId="0" applyFont="1" applyBorder="1" applyAlignment="1" applyProtection="1">
      <alignment horizontal="justify" vertical="center" wrapText="1"/>
      <protection locked="0"/>
    </xf>
    <xf numFmtId="0" fontId="90" fillId="0" borderId="48" xfId="0" applyFont="1" applyBorder="1" applyAlignment="1" applyProtection="1">
      <alignment horizontal="justify" vertical="center" wrapText="1"/>
      <protection locked="0"/>
    </xf>
    <xf numFmtId="0" fontId="90" fillId="0" borderId="49" xfId="0" applyFont="1" applyBorder="1" applyAlignment="1" applyProtection="1">
      <alignment horizontal="justify" vertical="center" wrapText="1"/>
      <protection locked="0"/>
    </xf>
    <xf numFmtId="43" fontId="94" fillId="0" borderId="30" xfId="134" applyFont="1" applyFill="1" applyBorder="1" applyAlignment="1" applyProtection="1">
      <alignment vertical="center"/>
      <protection/>
    </xf>
    <xf numFmtId="0" fontId="93" fillId="0" borderId="0" xfId="0" applyFont="1" applyFill="1" applyAlignment="1">
      <alignment/>
    </xf>
    <xf numFmtId="15" fontId="9" fillId="0" borderId="0" xfId="0" applyNumberFormat="1" applyFont="1" applyFill="1" applyBorder="1" applyAlignment="1" applyProtection="1">
      <alignment horizontal="centerContinuous"/>
      <protection/>
    </xf>
    <xf numFmtId="15" fontId="9" fillId="0" borderId="0" xfId="0" applyNumberFormat="1" applyFont="1" applyFill="1" applyBorder="1" applyAlignment="1" applyProtection="1">
      <alignment horizontal="center"/>
      <protection/>
    </xf>
    <xf numFmtId="15" fontId="36" fillId="0" borderId="0" xfId="0" applyNumberFormat="1" applyFont="1" applyAlignment="1" applyProtection="1">
      <alignment horizontal="center"/>
      <protection/>
    </xf>
    <xf numFmtId="1" fontId="24" fillId="13" borderId="12" xfId="0" applyNumberFormat="1" applyFont="1" applyFill="1" applyBorder="1" applyAlignment="1" applyProtection="1">
      <alignment horizontal="center"/>
      <protection locked="0"/>
    </xf>
    <xf numFmtId="1" fontId="24" fillId="13" borderId="51" xfId="0" applyNumberFormat="1" applyFont="1" applyFill="1" applyBorder="1" applyAlignment="1" applyProtection="1">
      <alignment horizontal="center"/>
      <protection locked="0"/>
    </xf>
    <xf numFmtId="1" fontId="0" fillId="13" borderId="12" xfId="0" applyNumberFormat="1" applyFill="1" applyBorder="1" applyAlignment="1" applyProtection="1">
      <alignment horizontal="center"/>
      <protection locked="0"/>
    </xf>
    <xf numFmtId="189" fontId="0" fillId="0" borderId="0" xfId="0" applyNumberFormat="1" applyAlignment="1" applyProtection="1">
      <alignment/>
      <protection/>
    </xf>
    <xf numFmtId="0" fontId="66" fillId="0" borderId="31" xfId="0" applyFont="1" applyBorder="1" applyAlignment="1" applyProtection="1">
      <alignment horizontal="left" vertical="center" wrapText="1"/>
      <protection locked="0"/>
    </xf>
    <xf numFmtId="0" fontId="66" fillId="0" borderId="48" xfId="0" applyFont="1" applyBorder="1" applyAlignment="1" applyProtection="1">
      <alignment horizontal="left" vertical="center" wrapText="1"/>
      <protection locked="0"/>
    </xf>
    <xf numFmtId="0" fontId="66" fillId="0" borderId="49" xfId="0" applyFont="1" applyBorder="1" applyAlignment="1" applyProtection="1">
      <alignment horizontal="left" vertical="center" wrapText="1"/>
      <protection locked="0"/>
    </xf>
    <xf numFmtId="43" fontId="23" fillId="0" borderId="0" xfId="101" applyFont="1" applyFill="1" applyAlignment="1" applyProtection="1">
      <alignment horizontal="right" vertical="center"/>
      <protection/>
    </xf>
    <xf numFmtId="0" fontId="97" fillId="0" borderId="0" xfId="0" applyFont="1" applyFill="1" applyBorder="1" applyAlignment="1" applyProtection="1">
      <alignment horizontal="right"/>
      <protection/>
    </xf>
    <xf numFmtId="0" fontId="66" fillId="12" borderId="31" xfId="0" applyFont="1" applyFill="1" applyBorder="1" applyAlignment="1">
      <alignment horizontal="left" vertical="center" wrapText="1"/>
    </xf>
    <xf numFmtId="0" fontId="66" fillId="12" borderId="48" xfId="0" applyFont="1" applyFill="1" applyBorder="1" applyAlignment="1">
      <alignment horizontal="left" vertical="center" wrapText="1"/>
    </xf>
    <xf numFmtId="0" fontId="66" fillId="12" borderId="49" xfId="0" applyFont="1" applyFill="1" applyBorder="1" applyAlignment="1">
      <alignment horizontal="left" vertical="center" wrapText="1"/>
    </xf>
    <xf numFmtId="43" fontId="98" fillId="0" borderId="16" xfId="134" applyFont="1" applyFill="1" applyBorder="1" applyAlignment="1" applyProtection="1">
      <alignment horizontal="left" vertical="center"/>
      <protection/>
    </xf>
    <xf numFmtId="0" fontId="84" fillId="0" borderId="0" xfId="0" applyFont="1" applyFill="1" applyBorder="1" applyAlignment="1" applyProtection="1">
      <alignment/>
      <protection/>
    </xf>
    <xf numFmtId="0" fontId="97" fillId="0" borderId="0" xfId="0" applyFont="1" applyBorder="1" applyAlignment="1" applyProtection="1">
      <alignment/>
      <protection/>
    </xf>
    <xf numFmtId="3" fontId="9" fillId="0" borderId="0" xfId="0" applyNumberFormat="1" applyFont="1" applyAlignment="1" applyProtection="1">
      <alignment horizontal="right"/>
      <protection/>
    </xf>
    <xf numFmtId="15" fontId="1" fillId="0" borderId="0" xfId="0" applyNumberFormat="1" applyFont="1" applyFill="1" applyBorder="1" applyAlignment="1" applyProtection="1">
      <alignment horizontal="left"/>
      <protection/>
    </xf>
    <xf numFmtId="0" fontId="100" fillId="0" borderId="0" xfId="0" applyFont="1" applyFill="1" applyBorder="1" applyAlignment="1" applyProtection="1">
      <alignment horizontal="center" wrapText="1"/>
      <protection/>
    </xf>
    <xf numFmtId="0" fontId="97" fillId="0" borderId="0" xfId="0" applyFont="1" applyFill="1" applyBorder="1" applyAlignment="1" applyProtection="1">
      <alignment horizontal="center"/>
      <protection/>
    </xf>
    <xf numFmtId="3" fontId="2" fillId="12" borderId="12" xfId="0" applyNumberFormat="1" applyFont="1" applyFill="1" applyBorder="1" applyAlignment="1" applyProtection="1">
      <alignment vertical="center"/>
      <protection locked="0"/>
    </xf>
    <xf numFmtId="3" fontId="2" fillId="28" borderId="12" xfId="0" applyNumberFormat="1" applyFont="1" applyFill="1" applyBorder="1" applyAlignment="1" applyProtection="1">
      <alignment vertical="center"/>
      <protection locked="0"/>
    </xf>
    <xf numFmtId="0" fontId="0" fillId="0" borderId="0" xfId="0" applyAlignment="1" applyProtection="1" quotePrefix="1">
      <alignment/>
      <protection/>
    </xf>
    <xf numFmtId="15" fontId="36" fillId="0" borderId="52" xfId="0" applyNumberFormat="1" applyFont="1" applyBorder="1" applyAlignment="1" applyProtection="1">
      <alignment horizontal="center"/>
      <protection/>
    </xf>
    <xf numFmtId="15" fontId="32" fillId="0" borderId="0" xfId="0" applyNumberFormat="1" applyFont="1" applyFill="1" applyBorder="1" applyAlignment="1" applyProtection="1">
      <alignment horizontal="center" vertical="center" wrapText="1"/>
      <protection/>
    </xf>
    <xf numFmtId="0" fontId="78" fillId="0" borderId="53" xfId="0" applyFont="1" applyFill="1" applyBorder="1" applyAlignment="1" applyProtection="1">
      <alignment horizontal="center" vertical="center"/>
      <protection/>
    </xf>
    <xf numFmtId="0" fontId="97" fillId="0" borderId="0" xfId="0" applyFont="1" applyBorder="1" applyAlignment="1" applyProtection="1">
      <alignment horizontal="right"/>
      <protection/>
    </xf>
    <xf numFmtId="0" fontId="97" fillId="0" borderId="0" xfId="0" applyFont="1" applyAlignment="1" applyProtection="1">
      <alignment horizontal="right"/>
      <protection/>
    </xf>
    <xf numFmtId="0" fontId="97" fillId="0" borderId="54" xfId="0" applyFont="1" applyBorder="1" applyAlignment="1" applyProtection="1">
      <alignment horizontal="right"/>
      <protection/>
    </xf>
    <xf numFmtId="43" fontId="105" fillId="0" borderId="0" xfId="90" applyFont="1" applyFill="1" applyAlignment="1" applyProtection="1">
      <alignment vertical="center"/>
      <protection/>
    </xf>
    <xf numFmtId="0" fontId="97" fillId="0" borderId="0" xfId="0" applyFont="1" applyAlignment="1" applyProtection="1">
      <alignment/>
      <protection/>
    </xf>
    <xf numFmtId="0" fontId="97" fillId="0" borderId="0" xfId="0" applyFont="1" applyBorder="1" applyAlignment="1" applyProtection="1">
      <alignment/>
      <protection/>
    </xf>
    <xf numFmtId="15" fontId="1" fillId="0" borderId="12" xfId="128" applyNumberFormat="1" applyFont="1" applyFill="1" applyBorder="1" applyAlignment="1" applyProtection="1">
      <alignment horizontal="center"/>
      <protection locked="0"/>
    </xf>
    <xf numFmtId="0" fontId="0" fillId="0" borderId="0" xfId="0" applyBorder="1" applyAlignment="1" applyProtection="1">
      <alignment/>
      <protection/>
    </xf>
    <xf numFmtId="0" fontId="0" fillId="0" borderId="0" xfId="0" applyAlignment="1" applyProtection="1">
      <alignment/>
      <protection/>
    </xf>
    <xf numFmtId="3" fontId="0" fillId="0" borderId="0" xfId="0" applyNumberFormat="1" applyFill="1" applyAlignment="1" applyProtection="1">
      <alignment/>
      <protection/>
    </xf>
    <xf numFmtId="15" fontId="97" fillId="0" borderId="0" xfId="0" applyNumberFormat="1" applyFont="1" applyFill="1" applyBorder="1" applyAlignment="1" applyProtection="1">
      <alignment horizontal="center"/>
      <protection/>
    </xf>
    <xf numFmtId="0" fontId="0" fillId="0" borderId="0" xfId="0" applyFill="1" applyBorder="1" applyAlignment="1" applyProtection="1">
      <alignment/>
      <protection locked="0"/>
    </xf>
    <xf numFmtId="0" fontId="9" fillId="0" borderId="0" xfId="0" applyFont="1" applyFill="1" applyBorder="1" applyAlignment="1" applyProtection="1">
      <alignment horizontal="center" vertical="center"/>
      <protection/>
    </xf>
    <xf numFmtId="0" fontId="9" fillId="0" borderId="55" xfId="0" applyFont="1" applyBorder="1" applyAlignment="1" applyProtection="1">
      <alignment/>
      <protection/>
    </xf>
    <xf numFmtId="0" fontId="9" fillId="0" borderId="56" xfId="0" applyFont="1" applyBorder="1" applyAlignment="1" applyProtection="1">
      <alignment/>
      <protection/>
    </xf>
    <xf numFmtId="0" fontId="28" fillId="0" borderId="57" xfId="0" applyFont="1" applyBorder="1" applyAlignment="1" applyProtection="1">
      <alignment vertical="distributed"/>
      <protection/>
    </xf>
    <xf numFmtId="15" fontId="30" fillId="0" borderId="58"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protection locked="0"/>
    </xf>
    <xf numFmtId="0" fontId="101" fillId="0" borderId="0" xfId="0" applyFont="1" applyFill="1" applyBorder="1" applyAlignment="1" applyProtection="1">
      <alignment horizontal="left"/>
      <protection locked="0"/>
    </xf>
    <xf numFmtId="0" fontId="99" fillId="0" borderId="0" xfId="0" applyFont="1" applyFill="1" applyBorder="1" applyAlignment="1" applyProtection="1">
      <alignment horizontal="center" vertical="center"/>
      <protection/>
    </xf>
    <xf numFmtId="0" fontId="29" fillId="0" borderId="59" xfId="0" applyFont="1" applyFill="1" applyBorder="1" applyAlignment="1" applyProtection="1">
      <alignment/>
      <protection/>
    </xf>
    <xf numFmtId="15" fontId="29" fillId="0" borderId="12" xfId="0" applyNumberFormat="1" applyFont="1" applyFill="1" applyBorder="1" applyAlignment="1" applyProtection="1">
      <alignment horizontal="center"/>
      <protection/>
    </xf>
    <xf numFmtId="15" fontId="29" fillId="0" borderId="60" xfId="0" applyNumberFormat="1" applyFont="1" applyFill="1" applyBorder="1" applyAlignment="1" applyProtection="1">
      <alignment horizontal="center"/>
      <protection/>
    </xf>
    <xf numFmtId="0" fontId="36" fillId="3" borderId="61" xfId="0" applyFont="1" applyFill="1" applyBorder="1" applyAlignment="1" applyProtection="1">
      <alignment horizontal="centerContinuous"/>
      <protection/>
    </xf>
    <xf numFmtId="15" fontId="102" fillId="0" borderId="44" xfId="0" applyNumberFormat="1" applyFont="1" applyFill="1" applyBorder="1" applyAlignment="1" applyProtection="1">
      <alignment horizontal="center" wrapText="1"/>
      <protection/>
    </xf>
    <xf numFmtId="15" fontId="102" fillId="0" borderId="62" xfId="0" applyNumberFormat="1" applyFont="1" applyFill="1" applyBorder="1" applyAlignment="1" applyProtection="1">
      <alignment horizontal="center" wrapText="1"/>
      <protection/>
    </xf>
    <xf numFmtId="0" fontId="40" fillId="0" borderId="59" xfId="0" applyFont="1" applyFill="1" applyBorder="1" applyAlignment="1" applyProtection="1">
      <alignment horizontal="center"/>
      <protection/>
    </xf>
    <xf numFmtId="0" fontId="40" fillId="0" borderId="63" xfId="0" applyFont="1" applyFill="1" applyBorder="1" applyAlignment="1" applyProtection="1">
      <alignment horizontal="center"/>
      <protection/>
    </xf>
    <xf numFmtId="0" fontId="36" fillId="3" borderId="64" xfId="0" applyFont="1" applyFill="1" applyBorder="1" applyAlignment="1" applyProtection="1">
      <alignment horizontal="centerContinuous"/>
      <protection/>
    </xf>
    <xf numFmtId="0" fontId="0" fillId="0" borderId="0" xfId="0" applyFill="1" applyBorder="1" applyAlignment="1" applyProtection="1">
      <alignment horizontal="left" vertical="top"/>
      <protection locked="0"/>
    </xf>
    <xf numFmtId="0" fontId="1" fillId="0" borderId="0" xfId="0" applyFont="1" applyFill="1" applyBorder="1" applyAlignment="1" applyProtection="1">
      <alignment horizontal="center"/>
      <protection/>
    </xf>
    <xf numFmtId="0" fontId="42" fillId="0" borderId="0" xfId="0" applyFont="1" applyFill="1" applyBorder="1" applyAlignment="1" applyProtection="1">
      <alignment horizontal="center" vertical="center"/>
      <protection/>
    </xf>
    <xf numFmtId="15" fontId="0" fillId="0" borderId="0"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protection/>
    </xf>
    <xf numFmtId="1" fontId="0" fillId="13" borderId="51"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5" xfId="0" applyBorder="1" applyAlignment="1" applyProtection="1">
      <alignment horizontal="center"/>
      <protection/>
    </xf>
    <xf numFmtId="0" fontId="0" fillId="0" borderId="44" xfId="0" applyFill="1" applyBorder="1" applyAlignment="1" applyProtection="1">
      <alignment horizontal="center"/>
      <protection/>
    </xf>
    <xf numFmtId="0" fontId="1" fillId="0" borderId="43" xfId="0" applyFont="1" applyFill="1" applyBorder="1" applyAlignment="1" applyProtection="1">
      <alignment horizontal="center" wrapText="1"/>
      <protection/>
    </xf>
    <xf numFmtId="0" fontId="0" fillId="0" borderId="43" xfId="0" applyBorder="1" applyAlignment="1">
      <alignment horizontal="center" wrapText="1"/>
    </xf>
    <xf numFmtId="0" fontId="31" fillId="0" borderId="43" xfId="0" applyFont="1" applyBorder="1" applyAlignment="1">
      <alignment horizontal="center" wrapText="1"/>
    </xf>
    <xf numFmtId="0" fontId="1" fillId="0" borderId="62" xfId="0" applyFont="1" applyFill="1" applyBorder="1" applyAlignment="1" applyProtection="1">
      <alignment horizontal="center" wrapText="1"/>
      <protection/>
    </xf>
    <xf numFmtId="3" fontId="2" fillId="28" borderId="33" xfId="0" applyNumberFormat="1" applyFont="1" applyFill="1" applyBorder="1" applyAlignment="1" applyProtection="1">
      <alignment vertical="center"/>
      <protection locked="0"/>
    </xf>
    <xf numFmtId="3" fontId="2" fillId="28" borderId="12" xfId="0" applyNumberFormat="1" applyFont="1" applyFill="1" applyBorder="1" applyAlignment="1" applyProtection="1">
      <alignment horizontal="right" vertical="center"/>
      <protection locked="0"/>
    </xf>
    <xf numFmtId="3" fontId="2" fillId="28" borderId="12" xfId="0" applyNumberFormat="1" applyFont="1" applyFill="1" applyBorder="1" applyAlignment="1" applyProtection="1">
      <alignment horizontal="right" vertical="center"/>
      <protection locked="0"/>
    </xf>
    <xf numFmtId="0" fontId="78" fillId="0" borderId="66" xfId="0" applyFont="1" applyFill="1" applyBorder="1" applyAlignment="1" applyProtection="1">
      <alignment horizontal="center" vertical="center"/>
      <protection/>
    </xf>
    <xf numFmtId="43" fontId="106" fillId="0" borderId="22" xfId="134" applyFont="1" applyFill="1" applyBorder="1" applyAlignment="1" applyProtection="1">
      <alignment vertical="center"/>
      <protection/>
    </xf>
    <xf numFmtId="0" fontId="27" fillId="0" borderId="0" xfId="0" applyFont="1" applyAlignment="1" applyProtection="1">
      <alignment/>
      <protection/>
    </xf>
    <xf numFmtId="43" fontId="102" fillId="0" borderId="0" xfId="0" applyNumberFormat="1" applyFont="1" applyBorder="1" applyAlignment="1" applyProtection="1">
      <alignment vertical="center" wrapText="1"/>
      <protection/>
    </xf>
    <xf numFmtId="0" fontId="102" fillId="0" borderId="0" xfId="0" applyFont="1" applyFill="1" applyBorder="1" applyAlignment="1" applyProtection="1">
      <alignment wrapText="1"/>
      <protection/>
    </xf>
    <xf numFmtId="43" fontId="23" fillId="0" borderId="45" xfId="128" applyFont="1" applyFill="1" applyBorder="1" applyAlignment="1" applyProtection="1">
      <alignment horizontal="right"/>
      <protection/>
    </xf>
    <xf numFmtId="0" fontId="31" fillId="0" borderId="67" xfId="0" applyFont="1" applyFill="1" applyBorder="1" applyAlignment="1" applyProtection="1">
      <alignment wrapText="1"/>
      <protection/>
    </xf>
    <xf numFmtId="0" fontId="38" fillId="0" borderId="68" xfId="0" applyFont="1" applyFill="1" applyBorder="1" applyAlignment="1" applyProtection="1">
      <alignment horizontal="center" wrapText="1"/>
      <protection/>
    </xf>
    <xf numFmtId="0" fontId="24" fillId="2" borderId="31" xfId="0" applyFont="1" applyFill="1" applyBorder="1" applyAlignment="1" applyProtection="1">
      <alignment/>
      <protection/>
    </xf>
    <xf numFmtId="0" fontId="24" fillId="2" borderId="69" xfId="0" applyFont="1" applyFill="1" applyBorder="1" applyAlignment="1" applyProtection="1">
      <alignment/>
      <protection/>
    </xf>
    <xf numFmtId="0" fontId="31" fillId="0" borderId="0" xfId="0" applyFont="1" applyFill="1" applyBorder="1" applyAlignment="1" applyProtection="1">
      <alignment wrapText="1"/>
      <protection/>
    </xf>
    <xf numFmtId="9" fontId="104" fillId="14" borderId="12" xfId="110" applyFont="1" applyFill="1" applyBorder="1" applyAlignment="1" applyProtection="1">
      <alignment horizontal="center" vertical="center" wrapText="1"/>
      <protection/>
    </xf>
    <xf numFmtId="43" fontId="31" fillId="0" borderId="0" xfId="0" applyNumberFormat="1" applyFont="1" applyAlignment="1" applyProtection="1">
      <alignment/>
      <protection/>
    </xf>
    <xf numFmtId="15" fontId="31" fillId="0" borderId="0" xfId="0" applyNumberFormat="1" applyFont="1" applyAlignment="1">
      <alignment/>
    </xf>
    <xf numFmtId="0" fontId="0" fillId="0" borderId="30" xfId="0" applyFill="1" applyBorder="1" applyAlignment="1" applyProtection="1">
      <alignment/>
      <protection/>
    </xf>
    <xf numFmtId="43" fontId="70" fillId="0" borderId="30" xfId="134" applyFont="1" applyFill="1" applyBorder="1" applyAlignment="1" applyProtection="1">
      <alignment vertical="center"/>
      <protection/>
    </xf>
    <xf numFmtId="0" fontId="0" fillId="0" borderId="30" xfId="0" applyBorder="1" applyAlignment="1" applyProtection="1">
      <alignment/>
      <protection/>
    </xf>
    <xf numFmtId="0" fontId="0" fillId="0" borderId="30" xfId="0" applyBorder="1" applyAlignment="1">
      <alignment/>
    </xf>
    <xf numFmtId="9" fontId="18" fillId="0" borderId="0" xfId="110" applyFont="1" applyAlignment="1" applyProtection="1">
      <alignment/>
      <protection/>
    </xf>
    <xf numFmtId="14" fontId="27" fillId="13" borderId="45" xfId="128" applyNumberFormat="1" applyFont="1" applyFill="1" applyBorder="1" applyAlignment="1" applyProtection="1">
      <alignment horizontal="center" vertical="center"/>
      <protection/>
    </xf>
    <xf numFmtId="43" fontId="27" fillId="13" borderId="45" xfId="128" applyFont="1" applyFill="1" applyBorder="1" applyAlignment="1" applyProtection="1">
      <alignment horizontal="center" vertical="center"/>
      <protection/>
    </xf>
    <xf numFmtId="15" fontId="27" fillId="13" borderId="45" xfId="128" applyNumberFormat="1" applyFont="1" applyFill="1" applyBorder="1" applyAlignment="1" applyProtection="1">
      <alignment horizontal="center" vertical="center"/>
      <protection/>
    </xf>
    <xf numFmtId="196" fontId="27" fillId="13" borderId="45" xfId="128" applyNumberFormat="1" applyFont="1" applyFill="1" applyBorder="1" applyAlignment="1" applyProtection="1">
      <alignment horizontal="center"/>
      <protection/>
    </xf>
    <xf numFmtId="3" fontId="27" fillId="13" borderId="45" xfId="128" applyNumberFormat="1" applyFont="1" applyFill="1" applyBorder="1" applyAlignment="1" applyProtection="1">
      <alignment horizontal="center"/>
      <protection/>
    </xf>
    <xf numFmtId="43" fontId="27" fillId="13" borderId="45" xfId="128" applyFont="1" applyFill="1" applyBorder="1" applyAlignment="1" applyProtection="1">
      <alignment horizontal="center"/>
      <protection/>
    </xf>
    <xf numFmtId="15" fontId="27" fillId="13" borderId="45" xfId="128" applyNumberFormat="1" applyFont="1" applyFill="1" applyBorder="1" applyAlignment="1" applyProtection="1">
      <alignment horizontal="center"/>
      <protection/>
    </xf>
    <xf numFmtId="43" fontId="91" fillId="0" borderId="0" xfId="0" applyNumberFormat="1" applyFont="1" applyAlignment="1">
      <alignment/>
    </xf>
    <xf numFmtId="0" fontId="38" fillId="0" borderId="43" xfId="0" applyFont="1" applyFill="1" applyBorder="1" applyAlignment="1" applyProtection="1">
      <alignment horizontal="center" wrapText="1"/>
      <protection/>
    </xf>
    <xf numFmtId="0" fontId="2" fillId="0" borderId="70" xfId="0" applyFont="1" applyFill="1" applyBorder="1" applyAlignment="1" applyProtection="1">
      <alignment/>
      <protection/>
    </xf>
    <xf numFmtId="0" fontId="33" fillId="12" borderId="0" xfId="0" applyFont="1" applyFill="1" applyBorder="1" applyAlignment="1" applyProtection="1">
      <alignment horizontal="left"/>
      <protection locked="0"/>
    </xf>
    <xf numFmtId="0" fontId="38" fillId="12" borderId="0" xfId="0" applyFont="1" applyFill="1" applyBorder="1" applyAlignment="1" applyProtection="1">
      <alignment horizontal="left"/>
      <protection locked="0"/>
    </xf>
    <xf numFmtId="0" fontId="38" fillId="12" borderId="0" xfId="0" applyFont="1" applyFill="1" applyAlignment="1" applyProtection="1">
      <alignment horizontal="left"/>
      <protection locked="0"/>
    </xf>
    <xf numFmtId="49" fontId="0" fillId="0" borderId="0" xfId="0" applyNumberFormat="1" applyAlignment="1" applyProtection="1">
      <alignment/>
      <protection/>
    </xf>
    <xf numFmtId="0" fontId="0" fillId="13" borderId="51"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protection/>
    </xf>
    <xf numFmtId="0" fontId="0" fillId="13" borderId="28" xfId="0" applyNumberFormat="1" applyFill="1" applyBorder="1" applyAlignment="1" applyProtection="1">
      <alignment horizontal="center"/>
      <protection locked="0"/>
    </xf>
    <xf numFmtId="3" fontId="0" fillId="1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protection/>
    </xf>
    <xf numFmtId="3" fontId="0" fillId="13" borderId="12" xfId="0" applyNumberFormat="1" applyFill="1" applyBorder="1" applyAlignment="1" applyProtection="1">
      <alignment/>
      <protection locked="0"/>
    </xf>
    <xf numFmtId="3" fontId="0" fillId="0" borderId="12" xfId="0" applyNumberFormat="1" applyFill="1" applyBorder="1" applyAlignment="1" applyProtection="1">
      <alignment/>
      <protection/>
    </xf>
    <xf numFmtId="3" fontId="0" fillId="13" borderId="71" xfId="0" applyNumberFormat="1" applyFill="1" applyBorder="1" applyAlignment="1" applyProtection="1">
      <alignment/>
      <protection locked="0"/>
    </xf>
    <xf numFmtId="195" fontId="24" fillId="2" borderId="0" xfId="0" applyNumberFormat="1" applyFont="1" applyFill="1" applyAlignment="1">
      <alignment/>
    </xf>
    <xf numFmtId="195" fontId="0" fillId="0" borderId="0" xfId="0" applyNumberFormat="1" applyFill="1" applyBorder="1" applyAlignment="1" applyProtection="1">
      <alignment/>
      <protection locked="0"/>
    </xf>
    <xf numFmtId="4" fontId="0" fillId="0" borderId="0" xfId="0" applyNumberFormat="1" applyFill="1" applyBorder="1" applyAlignment="1" applyProtection="1">
      <alignment/>
      <protection locked="0"/>
    </xf>
    <xf numFmtId="4" fontId="0" fillId="0" borderId="0" xfId="0" applyNumberFormat="1" applyAlignment="1" applyProtection="1">
      <alignment/>
      <protection/>
    </xf>
    <xf numFmtId="0" fontId="0" fillId="0" borderId="0" xfId="0" applyNumberFormat="1" applyFill="1" applyBorder="1" applyAlignment="1" applyProtection="1">
      <alignment/>
      <protection locked="0"/>
    </xf>
    <xf numFmtId="1" fontId="0" fillId="3" borderId="12" xfId="0" applyNumberFormat="1" applyFill="1" applyBorder="1" applyAlignment="1" applyProtection="1">
      <alignment horizontal="center"/>
      <protection locked="0"/>
    </xf>
    <xf numFmtId="1" fontId="0" fillId="3" borderId="60" xfId="0" applyNumberFormat="1" applyFill="1" applyBorder="1" applyAlignment="1" applyProtection="1">
      <alignment horizontal="center"/>
      <protection locked="0"/>
    </xf>
    <xf numFmtId="1" fontId="0" fillId="3" borderId="72" xfId="0" applyNumberFormat="1" applyFill="1" applyBorder="1" applyAlignment="1" applyProtection="1">
      <alignment horizontal="center"/>
      <protection locked="0"/>
    </xf>
    <xf numFmtId="1" fontId="0" fillId="3" borderId="73" xfId="0" applyNumberFormat="1" applyFill="1" applyBorder="1" applyAlignment="1" applyProtection="1">
      <alignment horizontal="center"/>
      <protection locked="0"/>
    </xf>
    <xf numFmtId="186" fontId="36" fillId="10" borderId="74" xfId="0" applyNumberFormat="1" applyFont="1" applyFill="1" applyBorder="1" applyAlignment="1" applyProtection="1">
      <alignment horizontal="center"/>
      <protection locked="0"/>
    </xf>
    <xf numFmtId="186" fontId="36" fillId="10" borderId="75" xfId="0" applyNumberFormat="1" applyFont="1" applyFill="1" applyBorder="1" applyAlignment="1" applyProtection="1">
      <alignment horizontal="center"/>
      <protection locked="0"/>
    </xf>
    <xf numFmtId="186" fontId="36" fillId="10" borderId="76" xfId="0" applyNumberFormat="1" applyFont="1" applyFill="1" applyBorder="1" applyAlignment="1" applyProtection="1">
      <alignment horizontal="center"/>
      <protection locked="0"/>
    </xf>
    <xf numFmtId="186" fontId="36" fillId="10" borderId="77" xfId="0" applyNumberFormat="1" applyFont="1" applyFill="1" applyBorder="1" applyAlignment="1" applyProtection="1">
      <alignment horizontal="center"/>
      <protection locked="0"/>
    </xf>
    <xf numFmtId="186" fontId="36" fillId="10" borderId="78" xfId="0" applyNumberFormat="1" applyFont="1" applyFill="1" applyBorder="1" applyAlignment="1" applyProtection="1">
      <alignment horizontal="center"/>
      <protection locked="0"/>
    </xf>
    <xf numFmtId="0" fontId="0" fillId="0" borderId="79" xfId="0" applyFill="1" applyBorder="1" applyAlignment="1" applyProtection="1">
      <alignment horizontal="center"/>
      <protection/>
    </xf>
    <xf numFmtId="0" fontId="0" fillId="0" borderId="0" xfId="0" applyBorder="1" applyAlignment="1">
      <alignment horizontal="left" wrapText="1"/>
    </xf>
    <xf numFmtId="43" fontId="39" fillId="0" borderId="0" xfId="0" applyNumberFormat="1" applyFont="1" applyAlignment="1">
      <alignment/>
    </xf>
    <xf numFmtId="0" fontId="0" fillId="0" borderId="0" xfId="0" applyBorder="1" applyAlignment="1">
      <alignment horizontal="left"/>
    </xf>
    <xf numFmtId="43" fontId="1" fillId="0" borderId="45" xfId="128" applyFont="1" applyBorder="1" applyAlignment="1" applyProtection="1">
      <alignment horizontal="right"/>
      <protection/>
    </xf>
    <xf numFmtId="43" fontId="38" fillId="0" borderId="0" xfId="102" applyFont="1" applyFill="1" applyBorder="1" applyProtection="1">
      <alignment/>
      <protection/>
    </xf>
    <xf numFmtId="3" fontId="31" fillId="3" borderId="74" xfId="0" applyNumberFormat="1" applyFont="1" applyFill="1" applyBorder="1" applyAlignment="1" applyProtection="1">
      <alignment/>
      <protection locked="0"/>
    </xf>
    <xf numFmtId="3" fontId="31" fillId="3" borderId="80" xfId="0" applyNumberFormat="1" applyFont="1" applyFill="1" applyBorder="1" applyAlignment="1" applyProtection="1">
      <alignment/>
      <protection locked="0"/>
    </xf>
    <xf numFmtId="3" fontId="31" fillId="0" borderId="12" xfId="0" applyNumberFormat="1" applyFont="1" applyFill="1" applyBorder="1" applyAlignment="1" applyProtection="1">
      <alignment/>
      <protection/>
    </xf>
    <xf numFmtId="3" fontId="31" fillId="0" borderId="72" xfId="0" applyNumberFormat="1" applyFont="1" applyFill="1" applyBorder="1" applyAlignment="1" applyProtection="1">
      <alignment/>
      <protection/>
    </xf>
    <xf numFmtId="3" fontId="24" fillId="3" borderId="12" xfId="64" applyNumberFormat="1" applyFont="1" applyFill="1" applyBorder="1" applyAlignment="1" applyProtection="1">
      <alignment/>
      <protection locked="0"/>
    </xf>
    <xf numFmtId="3" fontId="9" fillId="0" borderId="81" xfId="64" applyNumberFormat="1" applyFont="1" applyFill="1" applyBorder="1" applyAlignment="1" applyProtection="1">
      <alignment/>
      <protection/>
    </xf>
    <xf numFmtId="3" fontId="24" fillId="3" borderId="82" xfId="64" applyNumberFormat="1" applyFont="1" applyFill="1" applyBorder="1" applyAlignment="1" applyProtection="1">
      <alignment/>
      <protection locked="0"/>
    </xf>
    <xf numFmtId="3" fontId="9" fillId="0" borderId="83" xfId="64" applyNumberFormat="1" applyFont="1" applyFill="1" applyBorder="1" applyAlignment="1" applyProtection="1">
      <alignment/>
      <protection/>
    </xf>
    <xf numFmtId="186" fontId="17" fillId="10" borderId="84" xfId="0" applyNumberFormat="1" applyFont="1" applyFill="1" applyBorder="1" applyAlignment="1" applyProtection="1">
      <alignment horizontal="center"/>
      <protection locked="0"/>
    </xf>
    <xf numFmtId="186" fontId="17" fillId="10" borderId="85" xfId="0" applyNumberFormat="1" applyFont="1" applyFill="1" applyBorder="1" applyAlignment="1" applyProtection="1">
      <alignment horizontal="center"/>
      <protection locked="0"/>
    </xf>
    <xf numFmtId="0" fontId="0" fillId="3" borderId="12" xfId="0" applyFill="1" applyBorder="1" applyAlignment="1" applyProtection="1">
      <alignment/>
      <protection/>
    </xf>
    <xf numFmtId="0" fontId="0" fillId="13" borderId="12" xfId="0" applyFill="1" applyBorder="1" applyAlignment="1" applyProtection="1">
      <alignment/>
      <protection/>
    </xf>
    <xf numFmtId="3" fontId="1" fillId="3" borderId="86" xfId="64" applyNumberFormat="1" applyFont="1" applyFill="1" applyBorder="1" applyAlignment="1" applyProtection="1">
      <alignment/>
      <protection locked="0"/>
    </xf>
    <xf numFmtId="3" fontId="1" fillId="3" borderId="86" xfId="64" applyNumberFormat="1" applyFont="1" applyFill="1" applyBorder="1" applyAlignment="1" applyProtection="1">
      <alignment/>
      <protection locked="0"/>
    </xf>
    <xf numFmtId="49" fontId="28" fillId="0" borderId="87" xfId="0" applyNumberFormat="1" applyFont="1" applyFill="1" applyBorder="1" applyAlignment="1" applyProtection="1">
      <alignment vertical="center" wrapText="1"/>
      <protection/>
    </xf>
    <xf numFmtId="0" fontId="28" fillId="0" borderId="88" xfId="0" applyNumberFormat="1" applyFont="1" applyFill="1" applyBorder="1" applyAlignment="1" applyProtection="1">
      <alignment horizontal="center" vertical="center" wrapText="1"/>
      <protection/>
    </xf>
    <xf numFmtId="0" fontId="28" fillId="0" borderId="89" xfId="0" applyNumberFormat="1" applyFont="1" applyFill="1" applyBorder="1" applyAlignment="1" applyProtection="1">
      <alignment horizontal="center" vertical="center" wrapText="1"/>
      <protection/>
    </xf>
    <xf numFmtId="49" fontId="29" fillId="0" borderId="90" xfId="0" applyNumberFormat="1" applyFont="1" applyFill="1" applyBorder="1" applyAlignment="1" applyProtection="1">
      <alignment wrapText="1"/>
      <protection locked="0"/>
    </xf>
    <xf numFmtId="3" fontId="1" fillId="3" borderId="91" xfId="64" applyNumberFormat="1" applyFont="1" applyFill="1" applyBorder="1" applyAlignment="1" applyProtection="1">
      <alignment/>
      <protection locked="0"/>
    </xf>
    <xf numFmtId="49" fontId="29" fillId="0" borderId="90" xfId="0" applyNumberFormat="1" applyFont="1" applyFill="1" applyBorder="1" applyAlignment="1" applyProtection="1">
      <alignment/>
      <protection locked="0"/>
    </xf>
    <xf numFmtId="0" fontId="29" fillId="0" borderId="90" xfId="0" applyFont="1" applyFill="1" applyBorder="1" applyAlignment="1" applyProtection="1">
      <alignment wrapText="1"/>
      <protection locked="0"/>
    </xf>
    <xf numFmtId="0" fontId="0" fillId="0" borderId="92" xfId="0" applyBorder="1" applyAlignment="1" applyProtection="1">
      <alignment/>
      <protection/>
    </xf>
    <xf numFmtId="3" fontId="0" fillId="0" borderId="93" xfId="0" applyNumberFormat="1" applyBorder="1" applyAlignment="1" applyProtection="1">
      <alignment/>
      <protection/>
    </xf>
    <xf numFmtId="3" fontId="0" fillId="0" borderId="94" xfId="0" applyNumberFormat="1" applyBorder="1" applyAlignment="1" applyProtection="1">
      <alignment/>
      <protection/>
    </xf>
    <xf numFmtId="49" fontId="0" fillId="0" borderId="12" xfId="0" applyNumberFormat="1" applyBorder="1" applyAlignment="1" applyProtection="1">
      <alignment horizontal="center"/>
      <protection locked="0"/>
    </xf>
    <xf numFmtId="0" fontId="0" fillId="13" borderId="12" xfId="0" applyNumberFormat="1" applyFill="1" applyBorder="1" applyAlignment="1" applyProtection="1">
      <alignment/>
      <protection locked="0"/>
    </xf>
    <xf numFmtId="0" fontId="0" fillId="0" borderId="12" xfId="0" applyNumberFormat="1" applyFill="1" applyBorder="1" applyAlignment="1" applyProtection="1">
      <alignment/>
      <protection/>
    </xf>
    <xf numFmtId="0" fontId="0" fillId="13" borderId="12" xfId="0" applyNumberFormat="1" applyFill="1" applyBorder="1" applyAlignment="1" applyProtection="1">
      <alignment horizontal="center"/>
      <protection locked="0"/>
    </xf>
    <xf numFmtId="49" fontId="0" fillId="13" borderId="71" xfId="0" applyNumberFormat="1" applyFill="1" applyBorder="1" applyAlignment="1" applyProtection="1">
      <alignment horizontal="left"/>
      <protection locked="0"/>
    </xf>
    <xf numFmtId="0" fontId="0" fillId="13" borderId="71" xfId="0" applyNumberFormat="1" applyFill="1" applyBorder="1" applyAlignment="1" applyProtection="1">
      <alignment/>
      <protection locked="0"/>
    </xf>
    <xf numFmtId="0" fontId="0" fillId="13" borderId="71" xfId="0" applyNumberFormat="1" applyFill="1" applyBorder="1" applyAlignment="1" applyProtection="1">
      <alignment horizontal="center"/>
      <protection locked="0"/>
    </xf>
    <xf numFmtId="43" fontId="0" fillId="3" borderId="95" xfId="134" applyFill="1" applyBorder="1" applyAlignment="1" applyProtection="1">
      <alignment vertical="center"/>
      <protection/>
    </xf>
    <xf numFmtId="0" fontId="0" fillId="12" borderId="96" xfId="0" applyFill="1" applyBorder="1" applyAlignment="1">
      <alignment/>
    </xf>
    <xf numFmtId="0" fontId="0" fillId="0" borderId="22" xfId="0" applyBorder="1" applyAlignment="1" applyProtection="1">
      <alignment/>
      <protection/>
    </xf>
    <xf numFmtId="43" fontId="42" fillId="13" borderId="97" xfId="134" applyFont="1" applyFill="1" applyBorder="1" applyAlignment="1" applyProtection="1">
      <alignment horizontal="center" vertical="center"/>
      <protection/>
    </xf>
    <xf numFmtId="43" fontId="42" fillId="0" borderId="98" xfId="134" applyFont="1" applyFill="1" applyBorder="1" applyAlignment="1" applyProtection="1">
      <alignment vertical="center"/>
      <protection/>
    </xf>
    <xf numFmtId="0" fontId="0" fillId="0" borderId="99" xfId="0" applyNumberFormat="1" applyFill="1" applyBorder="1" applyAlignment="1">
      <alignment/>
    </xf>
    <xf numFmtId="15" fontId="30" fillId="0" borderId="100" xfId="0" applyNumberFormat="1" applyFont="1" applyFill="1" applyBorder="1" applyAlignment="1" applyProtection="1">
      <alignment horizontal="center" vertical="center" wrapText="1"/>
      <protection/>
    </xf>
    <xf numFmtId="0" fontId="0" fillId="0" borderId="12" xfId="0" applyNumberFormat="1" applyBorder="1" applyAlignment="1" quotePrefix="1">
      <alignment horizontal="center"/>
    </xf>
    <xf numFmtId="3" fontId="0" fillId="0" borderId="0" xfId="0" applyNumberFormat="1" applyFill="1" applyBorder="1" applyAlignment="1" applyProtection="1">
      <alignment/>
      <protection locked="0"/>
    </xf>
    <xf numFmtId="3" fontId="2" fillId="0" borderId="12" xfId="0" applyNumberFormat="1" applyFont="1" applyFill="1" applyBorder="1" applyAlignment="1" applyProtection="1">
      <alignment vertical="center"/>
      <protection/>
    </xf>
    <xf numFmtId="3" fontId="2" fillId="0" borderId="101" xfId="0" applyNumberFormat="1" applyFont="1" applyFill="1" applyBorder="1" applyAlignment="1" applyProtection="1">
      <alignment vertical="center"/>
      <protection/>
    </xf>
    <xf numFmtId="191" fontId="0" fillId="0" borderId="12" xfId="0" applyNumberFormat="1" applyFill="1" applyBorder="1" applyAlignment="1" applyProtection="1">
      <alignment horizontal="center"/>
      <protection/>
    </xf>
    <xf numFmtId="191" fontId="18" fillId="29" borderId="102" xfId="0" applyNumberFormat="1" applyFont="1" applyFill="1" applyBorder="1" applyAlignment="1" applyProtection="1">
      <alignment horizontal="center"/>
      <protection/>
    </xf>
    <xf numFmtId="191" fontId="24" fillId="29" borderId="102" xfId="0" applyNumberFormat="1" applyFont="1" applyFill="1" applyBorder="1" applyAlignment="1" applyProtection="1">
      <alignment horizontal="center"/>
      <protection/>
    </xf>
    <xf numFmtId="49" fontId="85" fillId="0" borderId="12" xfId="0" applyNumberFormat="1" applyFont="1" applyBorder="1" applyAlignment="1" applyProtection="1">
      <alignment horizontal="center"/>
      <protection locked="0"/>
    </xf>
    <xf numFmtId="43" fontId="71" fillId="0" borderId="12" xfId="102" applyFont="1" applyBorder="1" applyAlignment="1" applyProtection="1">
      <alignment horizontal="center"/>
      <protection/>
    </xf>
    <xf numFmtId="0" fontId="71" fillId="0" borderId="12" xfId="0" applyFont="1" applyBorder="1" applyAlignment="1" applyProtection="1">
      <alignment horizontal="center"/>
      <protection/>
    </xf>
    <xf numFmtId="0" fontId="78" fillId="0" borderId="103" xfId="0" applyFont="1" applyFill="1" applyBorder="1" applyAlignment="1" applyProtection="1">
      <alignment horizontal="center" vertical="center" wrapText="1"/>
      <protection/>
    </xf>
    <xf numFmtId="0" fontId="78" fillId="0" borderId="104" xfId="0" applyFont="1" applyFill="1" applyBorder="1" applyAlignment="1" applyProtection="1">
      <alignment horizontal="center"/>
      <protection/>
    </xf>
    <xf numFmtId="0" fontId="78" fillId="0" borderId="105" xfId="0" applyFont="1" applyFill="1" applyBorder="1" applyAlignment="1" applyProtection="1">
      <alignment horizontal="center"/>
      <protection/>
    </xf>
    <xf numFmtId="0" fontId="78" fillId="0" borderId="106" xfId="0" applyNumberFormat="1" applyFont="1" applyFill="1" applyBorder="1" applyAlignment="1" applyProtection="1">
      <alignment horizontal="center"/>
      <protection/>
    </xf>
    <xf numFmtId="0" fontId="78" fillId="0" borderId="107" xfId="0" applyNumberFormat="1" applyFont="1" applyFill="1" applyBorder="1" applyAlignment="1" applyProtection="1">
      <alignment horizontal="center"/>
      <protection/>
    </xf>
    <xf numFmtId="0" fontId="78" fillId="0" borderId="107" xfId="0" applyNumberFormat="1" applyFont="1" applyFill="1" applyBorder="1" applyAlignment="1" applyProtection="1">
      <alignment horizontal="center" vertical="center"/>
      <protection/>
    </xf>
    <xf numFmtId="0" fontId="78" fillId="0" borderId="108" xfId="0" applyNumberFormat="1" applyFont="1" applyFill="1" applyBorder="1" applyAlignment="1" applyProtection="1">
      <alignment horizontal="center" vertical="center"/>
      <protection/>
    </xf>
    <xf numFmtId="0" fontId="82" fillId="0" borderId="109" xfId="0" applyNumberFormat="1" applyFont="1" applyFill="1" applyBorder="1" applyAlignment="1" applyProtection="1">
      <alignment horizontal="center" vertical="center"/>
      <protection/>
    </xf>
    <xf numFmtId="0" fontId="82" fillId="0" borderId="110" xfId="0" applyNumberFormat="1" applyFont="1" applyFill="1" applyBorder="1" applyAlignment="1" applyProtection="1">
      <alignment horizontal="center" vertical="center"/>
      <protection/>
    </xf>
    <xf numFmtId="0" fontId="82" fillId="0" borderId="111" xfId="0" applyNumberFormat="1" applyFont="1" applyFill="1" applyBorder="1" applyAlignment="1" applyProtection="1">
      <alignment horizontal="center" vertical="center"/>
      <protection/>
    </xf>
    <xf numFmtId="0" fontId="78" fillId="0" borderId="112" xfId="0" applyFont="1" applyFill="1" applyBorder="1" applyAlignment="1" applyProtection="1">
      <alignment horizontal="center" vertical="center"/>
      <protection/>
    </xf>
    <xf numFmtId="0" fontId="78" fillId="0" borderId="113" xfId="0" applyFont="1" applyFill="1" applyBorder="1" applyAlignment="1" applyProtection="1">
      <alignment horizontal="center" vertical="center"/>
      <protection/>
    </xf>
    <xf numFmtId="0" fontId="78" fillId="0" borderId="114" xfId="0" applyFont="1" applyFill="1" applyBorder="1" applyAlignment="1" applyProtection="1">
      <alignment horizontal="center" vertical="center"/>
      <protection/>
    </xf>
    <xf numFmtId="0" fontId="78" fillId="0" borderId="115" xfId="0" applyFont="1" applyFill="1" applyBorder="1" applyAlignment="1" applyProtection="1">
      <alignment horizontal="center" vertical="center"/>
      <protection/>
    </xf>
    <xf numFmtId="0" fontId="2" fillId="0" borderId="116" xfId="0" applyFont="1" applyFill="1" applyBorder="1" applyAlignment="1" applyProtection="1">
      <alignment horizontal="center"/>
      <protection/>
    </xf>
    <xf numFmtId="186" fontId="17" fillId="10" borderId="113" xfId="0" applyNumberFormat="1" applyFont="1" applyFill="1" applyBorder="1" applyAlignment="1" applyProtection="1">
      <alignment horizontal="center"/>
      <protection locked="0"/>
    </xf>
    <xf numFmtId="186" fontId="17" fillId="10" borderId="117" xfId="0" applyNumberFormat="1" applyFont="1" applyFill="1" applyBorder="1" applyAlignment="1" applyProtection="1">
      <alignment horizontal="center"/>
      <protection locked="0"/>
    </xf>
    <xf numFmtId="191" fontId="0" fillId="2" borderId="12" xfId="0" applyNumberFormat="1" applyFill="1" applyBorder="1" applyAlignment="1" applyProtection="1">
      <alignment horizontal="center"/>
      <protection/>
    </xf>
    <xf numFmtId="191" fontId="0" fillId="0" borderId="12" xfId="0" applyNumberFormat="1" applyBorder="1" applyAlignment="1" applyProtection="1">
      <alignment horizontal="center"/>
      <protection/>
    </xf>
    <xf numFmtId="191" fontId="0" fillId="2" borderId="71" xfId="0" applyNumberFormat="1" applyFill="1" applyBorder="1" applyAlignment="1" applyProtection="1">
      <alignment horizontal="center"/>
      <protection/>
    </xf>
    <xf numFmtId="191" fontId="0" fillId="0" borderId="71" xfId="0" applyNumberFormat="1" applyBorder="1" applyAlignment="1" applyProtection="1">
      <alignment horizontal="center"/>
      <protection/>
    </xf>
    <xf numFmtId="0" fontId="2" fillId="30" borderId="12" xfId="0" applyFont="1" applyFill="1" applyBorder="1" applyAlignment="1" applyProtection="1">
      <alignment horizontal="center"/>
      <protection/>
    </xf>
    <xf numFmtId="0" fontId="2" fillId="31" borderId="12" xfId="0" applyFont="1" applyFill="1" applyBorder="1" applyAlignment="1" applyProtection="1">
      <alignment horizontal="center"/>
      <protection/>
    </xf>
    <xf numFmtId="3" fontId="2" fillId="32"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3" fontId="2" fillId="32" borderId="33" xfId="0" applyNumberFormat="1" applyFont="1" applyFill="1" applyBorder="1" applyAlignment="1" applyProtection="1">
      <alignment vertical="center"/>
      <protection locked="0"/>
    </xf>
    <xf numFmtId="3" fontId="2" fillId="28" borderId="33" xfId="0" applyNumberFormat="1" applyFont="1" applyFill="1" applyBorder="1" applyAlignment="1" applyProtection="1">
      <alignment horizontal="right" vertical="center"/>
      <protection locked="0"/>
    </xf>
    <xf numFmtId="0" fontId="2" fillId="30" borderId="101" xfId="0" applyFont="1" applyFill="1" applyBorder="1" applyAlignment="1" applyProtection="1">
      <alignment horizontal="center"/>
      <protection/>
    </xf>
    <xf numFmtId="3" fontId="2" fillId="28" borderId="101" xfId="0" applyNumberFormat="1" applyFont="1" applyFill="1" applyBorder="1" applyAlignment="1" applyProtection="1">
      <alignment horizontal="right" vertical="center"/>
      <protection locked="0"/>
    </xf>
    <xf numFmtId="3" fontId="2" fillId="28" borderId="118" xfId="0" applyNumberFormat="1" applyFont="1" applyFill="1" applyBorder="1" applyAlignment="1" applyProtection="1">
      <alignment horizontal="right" vertical="center"/>
      <protection locked="0"/>
    </xf>
    <xf numFmtId="0" fontId="2" fillId="30" borderId="12" xfId="0" applyFont="1" applyFill="1" applyBorder="1" applyAlignment="1" applyProtection="1">
      <alignment/>
      <protection/>
    </xf>
    <xf numFmtId="3" fontId="2" fillId="30" borderId="12" xfId="0" applyNumberFormat="1" applyFont="1" applyFill="1" applyBorder="1" applyAlignment="1" applyProtection="1">
      <alignment vertical="center"/>
      <protection/>
    </xf>
    <xf numFmtId="0" fontId="0" fillId="0" borderId="119" xfId="0" applyBorder="1" applyAlignment="1">
      <alignment/>
    </xf>
    <xf numFmtId="0" fontId="0" fillId="0" borderId="71" xfId="0" applyNumberFormat="1" applyFill="1" applyBorder="1" applyAlignment="1" applyProtection="1">
      <alignment/>
      <protection/>
    </xf>
    <xf numFmtId="3" fontId="0" fillId="0" borderId="71" xfId="0" applyNumberFormat="1" applyFill="1" applyBorder="1" applyAlignment="1" applyProtection="1">
      <alignment/>
      <protection/>
    </xf>
    <xf numFmtId="191" fontId="0" fillId="0" borderId="71" xfId="0" applyNumberFormat="1" applyFill="1" applyBorder="1" applyAlignment="1" applyProtection="1">
      <alignment horizontal="center"/>
      <protection/>
    </xf>
    <xf numFmtId="0" fontId="0" fillId="0" borderId="63" xfId="0" applyBorder="1" applyAlignment="1" applyProtection="1">
      <alignment horizontal="center" wrapText="1"/>
      <protection/>
    </xf>
    <xf numFmtId="3" fontId="1" fillId="0" borderId="71" xfId="64" applyNumberFormat="1" applyFont="1" applyFill="1" applyBorder="1" applyAlignment="1" applyProtection="1">
      <alignment horizontal="right"/>
      <protection/>
    </xf>
    <xf numFmtId="3" fontId="0" fillId="0" borderId="71" xfId="0" applyNumberFormat="1" applyBorder="1" applyAlignment="1" applyProtection="1">
      <alignment horizontal="right" wrapText="1"/>
      <protection/>
    </xf>
    <xf numFmtId="0" fontId="0" fillId="33" borderId="28" xfId="0" applyNumberFormat="1" applyFill="1" applyBorder="1" applyAlignment="1" applyProtection="1">
      <alignment horizontal="center"/>
      <protection locked="0"/>
    </xf>
    <xf numFmtId="3" fontId="0" fillId="13" borderId="61" xfId="0" applyNumberFormat="1" applyFill="1" applyBorder="1" applyAlignment="1" applyProtection="1">
      <alignment horizontal="right" wrapText="1"/>
      <protection locked="0"/>
    </xf>
    <xf numFmtId="3" fontId="0" fillId="0" borderId="61" xfId="0" applyNumberFormat="1" applyBorder="1" applyAlignment="1" applyProtection="1">
      <alignment horizontal="right" wrapText="1"/>
      <protection/>
    </xf>
    <xf numFmtId="3" fontId="0" fillId="0" borderId="64" xfId="0" applyNumberFormat="1" applyBorder="1" applyAlignment="1" applyProtection="1">
      <alignment horizontal="right" wrapText="1"/>
      <protection/>
    </xf>
    <xf numFmtId="191" fontId="0" fillId="0" borderId="61" xfId="0" applyNumberFormat="1" applyFill="1" applyBorder="1" applyAlignment="1" applyProtection="1">
      <alignment/>
      <protection/>
    </xf>
    <xf numFmtId="191" fontId="0" fillId="0" borderId="64" xfId="0" applyNumberFormat="1" applyFill="1" applyBorder="1" applyAlignment="1" applyProtection="1">
      <alignment/>
      <protection/>
    </xf>
    <xf numFmtId="3" fontId="2" fillId="0" borderId="33" xfId="0" applyNumberFormat="1" applyFont="1" applyFill="1" applyBorder="1" applyAlignment="1" applyProtection="1">
      <alignment vertical="center"/>
      <protection/>
    </xf>
    <xf numFmtId="3" fontId="2" fillId="30" borderId="33" xfId="0" applyNumberFormat="1" applyFont="1" applyFill="1" applyBorder="1" applyAlignment="1" applyProtection="1">
      <alignment vertical="center"/>
      <protection/>
    </xf>
    <xf numFmtId="3" fontId="2" fillId="0" borderId="120" xfId="0" applyNumberFormat="1" applyFont="1" applyFill="1" applyBorder="1" applyAlignment="1" applyProtection="1">
      <alignment vertical="center"/>
      <protection/>
    </xf>
    <xf numFmtId="0" fontId="38" fillId="12" borderId="0" xfId="0" applyFont="1" applyFill="1" applyBorder="1" applyAlignment="1" applyProtection="1">
      <alignment horizontal="left" vertical="top" wrapText="1"/>
      <protection locked="0"/>
    </xf>
    <xf numFmtId="0" fontId="0" fillId="0" borderId="0" xfId="0" applyFill="1" applyAlignment="1" applyProtection="1">
      <alignment/>
      <protection/>
    </xf>
    <xf numFmtId="49" fontId="29" fillId="0" borderId="90" xfId="0" applyNumberFormat="1" applyFont="1" applyFill="1" applyBorder="1" applyAlignment="1" applyProtection="1">
      <alignment vertical="top" wrapText="1"/>
      <protection locked="0"/>
    </xf>
    <xf numFmtId="49" fontId="117" fillId="13" borderId="12" xfId="0" applyNumberFormat="1" applyFont="1" applyFill="1" applyBorder="1" applyAlignment="1" applyProtection="1">
      <alignment/>
      <protection locked="0"/>
    </xf>
    <xf numFmtId="189" fontId="31" fillId="3" borderId="75" xfId="0" applyNumberFormat="1" applyFont="1" applyFill="1" applyBorder="1" applyAlignment="1" applyProtection="1">
      <alignment/>
      <protection locked="0"/>
    </xf>
    <xf numFmtId="43" fontId="31" fillId="3" borderId="75" xfId="64" applyFont="1" applyFill="1" applyBorder="1" applyAlignment="1" applyProtection="1">
      <alignment/>
      <protection locked="0"/>
    </xf>
    <xf numFmtId="189" fontId="31" fillId="3" borderId="121" xfId="0" applyNumberFormat="1" applyFont="1" applyFill="1" applyBorder="1" applyAlignment="1" applyProtection="1">
      <alignment/>
      <protection locked="0"/>
    </xf>
    <xf numFmtId="189" fontId="31" fillId="3" borderId="80" xfId="0" applyNumberFormat="1" applyFont="1" applyFill="1" applyBorder="1" applyAlignment="1" applyProtection="1">
      <alignment/>
      <protection locked="0"/>
    </xf>
    <xf numFmtId="189" fontId="31" fillId="3" borderId="122" xfId="0" applyNumberFormat="1" applyFont="1" applyFill="1" applyBorder="1" applyAlignment="1" applyProtection="1">
      <alignment/>
      <protection locked="0"/>
    </xf>
    <xf numFmtId="9" fontId="2" fillId="32" borderId="12" xfId="110" applyFont="1" applyFill="1" applyBorder="1" applyAlignment="1" applyProtection="1">
      <alignment vertical="center"/>
      <protection locked="0"/>
    </xf>
    <xf numFmtId="9" fontId="2" fillId="28" borderId="12" xfId="110" applyFont="1" applyFill="1" applyBorder="1" applyAlignment="1" applyProtection="1">
      <alignment horizontal="right" vertical="center"/>
      <protection locked="0"/>
    </xf>
    <xf numFmtId="9" fontId="2" fillId="32" borderId="12" xfId="110" applyFont="1" applyFill="1" applyBorder="1" applyAlignment="1" applyProtection="1">
      <alignment vertical="center"/>
      <protection locked="0"/>
    </xf>
    <xf numFmtId="9" fontId="2" fillId="28" borderId="12" xfId="110" applyFont="1" applyFill="1" applyBorder="1" applyAlignment="1" applyProtection="1">
      <alignment horizontal="right" vertical="center"/>
      <protection locked="0"/>
    </xf>
    <xf numFmtId="9" fontId="2" fillId="12" borderId="12" xfId="110" applyFont="1" applyFill="1" applyBorder="1" applyAlignment="1" applyProtection="1">
      <alignment vertical="center"/>
      <protection locked="0"/>
    </xf>
    <xf numFmtId="9" fontId="2" fillId="28" borderId="12" xfId="110" applyFont="1" applyFill="1" applyBorder="1" applyAlignment="1" applyProtection="1">
      <alignment vertical="center"/>
      <protection locked="0"/>
    </xf>
    <xf numFmtId="9" fontId="2" fillId="28" borderId="101" xfId="110" applyFont="1" applyFill="1" applyBorder="1" applyAlignment="1" applyProtection="1">
      <alignment horizontal="right" vertical="center"/>
      <protection locked="0"/>
    </xf>
    <xf numFmtId="43" fontId="20" fillId="34" borderId="0" xfId="90" applyFont="1" applyFill="1" applyBorder="1" applyAlignment="1">
      <alignment horizontal="center" vertical="center"/>
      <protection/>
    </xf>
    <xf numFmtId="43" fontId="37" fillId="0" borderId="0" xfId="0" applyNumberFormat="1" applyFont="1" applyAlignment="1">
      <alignment horizontal="center"/>
    </xf>
    <xf numFmtId="0" fontId="0" fillId="0" borderId="0" xfId="0" applyAlignment="1">
      <alignment/>
    </xf>
    <xf numFmtId="0" fontId="115" fillId="0" borderId="0" xfId="0" applyFont="1" applyAlignment="1">
      <alignment horizontal="center"/>
    </xf>
    <xf numFmtId="0" fontId="116" fillId="0" borderId="0" xfId="0" applyFont="1" applyAlignment="1">
      <alignment horizontal="center"/>
    </xf>
    <xf numFmtId="0" fontId="90" fillId="0" borderId="31" xfId="0" applyFont="1" applyBorder="1" applyAlignment="1">
      <alignment horizontal="justify" vertical="center" wrapText="1"/>
    </xf>
    <xf numFmtId="0" fontId="90" fillId="0" borderId="48" xfId="0" applyFont="1" applyBorder="1" applyAlignment="1">
      <alignment horizontal="justify" vertical="center" wrapText="1"/>
    </xf>
    <xf numFmtId="0" fontId="90" fillId="0" borderId="49" xfId="0" applyFont="1" applyBorder="1" applyAlignment="1">
      <alignment horizontal="justify" vertical="center" wrapText="1"/>
    </xf>
    <xf numFmtId="0" fontId="66" fillId="0" borderId="31" xfId="0" applyFont="1" applyBorder="1" applyAlignment="1">
      <alignment horizontal="left" vertical="center" wrapText="1"/>
    </xf>
    <xf numFmtId="0" fontId="66" fillId="0" borderId="48" xfId="0" applyFont="1" applyBorder="1" applyAlignment="1">
      <alignment horizontal="left" vertical="center" wrapText="1"/>
    </xf>
    <xf numFmtId="0" fontId="66" fillId="0" borderId="49" xfId="0" applyFont="1" applyBorder="1" applyAlignment="1">
      <alignment horizontal="left" vertical="center" wrapText="1"/>
    </xf>
    <xf numFmtId="0" fontId="88" fillId="3" borderId="31" xfId="0" applyFont="1" applyFill="1" applyBorder="1" applyAlignment="1">
      <alignment horizontal="center"/>
    </xf>
    <xf numFmtId="0" fontId="88" fillId="3" borderId="48" xfId="0" applyFont="1" applyFill="1" applyBorder="1" applyAlignment="1">
      <alignment horizontal="center"/>
    </xf>
    <xf numFmtId="0" fontId="88" fillId="3" borderId="49" xfId="0" applyFont="1" applyFill="1" applyBorder="1" applyAlignment="1">
      <alignment horizontal="center"/>
    </xf>
    <xf numFmtId="43" fontId="89" fillId="0" borderId="31" xfId="0" applyNumberFormat="1" applyFont="1" applyBorder="1" applyAlignment="1">
      <alignment horizontal="justify" vertical="center" wrapText="1"/>
    </xf>
    <xf numFmtId="0" fontId="89" fillId="0" borderId="48" xfId="0" applyFont="1" applyBorder="1" applyAlignment="1">
      <alignment horizontal="justify" vertical="center"/>
    </xf>
    <xf numFmtId="0" fontId="89" fillId="0" borderId="49" xfId="0" applyFont="1" applyBorder="1" applyAlignment="1">
      <alignment horizontal="justify" vertical="center"/>
    </xf>
    <xf numFmtId="0" fontId="89" fillId="0" borderId="48" xfId="0" applyFont="1" applyBorder="1" applyAlignment="1">
      <alignment horizontal="justify" vertical="center" wrapText="1"/>
    </xf>
    <xf numFmtId="0" fontId="89" fillId="0" borderId="49" xfId="0" applyFont="1" applyBorder="1" applyAlignment="1">
      <alignment horizontal="justify" vertical="center" wrapText="1"/>
    </xf>
    <xf numFmtId="43" fontId="20" fillId="26" borderId="0" xfId="98" applyFont="1" applyFill="1" applyAlignment="1" applyProtection="1">
      <alignment horizontal="center" vertical="center"/>
      <protection/>
    </xf>
    <xf numFmtId="0" fontId="87" fillId="0" borderId="0" xfId="0" applyFont="1" applyAlignment="1">
      <alignment horizontal="center"/>
    </xf>
    <xf numFmtId="9" fontId="90" fillId="0" borderId="31" xfId="110" applyFont="1" applyBorder="1" applyAlignment="1">
      <alignment horizontal="justify" vertical="center" wrapText="1"/>
    </xf>
    <xf numFmtId="9" fontId="90" fillId="0" borderId="48" xfId="110" applyFont="1" applyBorder="1" applyAlignment="1">
      <alignment horizontal="justify" vertical="center" wrapText="1"/>
    </xf>
    <xf numFmtId="9" fontId="90" fillId="0" borderId="49" xfId="110" applyFont="1" applyBorder="1" applyAlignment="1">
      <alignment horizontal="justify" vertical="center" wrapText="1"/>
    </xf>
    <xf numFmtId="43" fontId="89" fillId="0" borderId="31" xfId="0" applyNumberFormat="1" applyFont="1" applyBorder="1" applyAlignment="1">
      <alignment horizontal="left" vertical="center" wrapText="1"/>
    </xf>
    <xf numFmtId="0" fontId="89" fillId="0" borderId="48" xfId="0" applyFont="1" applyBorder="1" applyAlignment="1">
      <alignment horizontal="left" vertical="center" wrapText="1"/>
    </xf>
    <xf numFmtId="0" fontId="89" fillId="0" borderId="49" xfId="0" applyFont="1" applyBorder="1" applyAlignment="1">
      <alignment horizontal="left" vertical="center" wrapText="1"/>
    </xf>
    <xf numFmtId="0" fontId="89" fillId="0" borderId="48" xfId="0" applyFont="1" applyBorder="1" applyAlignment="1">
      <alignment horizontal="left" vertical="center"/>
    </xf>
    <xf numFmtId="0" fontId="89" fillId="0" borderId="49" xfId="0" applyFont="1" applyBorder="1" applyAlignment="1">
      <alignment horizontal="left" vertical="center"/>
    </xf>
    <xf numFmtId="0" fontId="0" fillId="0" borderId="123" xfId="0" applyBorder="1" applyAlignment="1">
      <alignment horizontal="center"/>
    </xf>
    <xf numFmtId="0" fontId="0" fillId="0" borderId="123" xfId="0" applyBorder="1" applyAlignment="1">
      <alignment horizontal="center" wrapText="1"/>
    </xf>
    <xf numFmtId="0" fontId="0" fillId="0" borderId="0" xfId="0" applyBorder="1" applyAlignment="1">
      <alignment horizontal="center" wrapText="1"/>
    </xf>
    <xf numFmtId="0" fontId="88" fillId="13" borderId="31" xfId="0" applyFont="1" applyFill="1" applyBorder="1" applyAlignment="1">
      <alignment horizontal="center"/>
    </xf>
    <xf numFmtId="0" fontId="88" fillId="13" borderId="48" xfId="0" applyFont="1" applyFill="1" applyBorder="1" applyAlignment="1">
      <alignment horizontal="center"/>
    </xf>
    <xf numFmtId="0" fontId="88" fillId="13" borderId="49" xfId="0" applyFont="1" applyFill="1" applyBorder="1" applyAlignment="1">
      <alignment horizontal="center"/>
    </xf>
    <xf numFmtId="0" fontId="0" fillId="0" borderId="0" xfId="0" applyBorder="1" applyAlignment="1">
      <alignment horizontal="center"/>
    </xf>
    <xf numFmtId="0" fontId="0" fillId="0" borderId="31"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17" fillId="12" borderId="31" xfId="0" applyFont="1" applyFill="1" applyBorder="1" applyAlignment="1">
      <alignment horizontal="center" vertical="center" wrapText="1"/>
    </xf>
    <xf numFmtId="0" fontId="17" fillId="12" borderId="48" xfId="0" applyFont="1" applyFill="1" applyBorder="1" applyAlignment="1">
      <alignment horizontal="center" vertical="center"/>
    </xf>
    <xf numFmtId="0" fontId="17" fillId="12" borderId="49" xfId="0" applyFont="1" applyFill="1" applyBorder="1" applyAlignment="1">
      <alignment horizontal="center" vertical="center"/>
    </xf>
    <xf numFmtId="0" fontId="27" fillId="12" borderId="31" xfId="0" applyFont="1" applyFill="1" applyBorder="1" applyAlignment="1">
      <alignment horizontal="center" vertical="center"/>
    </xf>
    <xf numFmtId="0" fontId="27" fillId="12" borderId="48" xfId="0" applyFont="1" applyFill="1" applyBorder="1" applyAlignment="1">
      <alignment horizontal="center" vertical="center"/>
    </xf>
    <xf numFmtId="0" fontId="27" fillId="12" borderId="49" xfId="0" applyFont="1" applyFill="1" applyBorder="1" applyAlignment="1">
      <alignment horizontal="center" vertical="center"/>
    </xf>
    <xf numFmtId="0" fontId="27" fillId="0" borderId="31"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0" fontId="27" fillId="12" borderId="31" xfId="0" applyFont="1" applyFill="1" applyBorder="1" applyAlignment="1">
      <alignment horizontal="center" wrapText="1"/>
    </xf>
    <xf numFmtId="0" fontId="27" fillId="12" borderId="48" xfId="0" applyFont="1" applyFill="1" applyBorder="1" applyAlignment="1">
      <alignment horizontal="center" wrapText="1"/>
    </xf>
    <xf numFmtId="0" fontId="27" fillId="12" borderId="49" xfId="0" applyFont="1" applyFill="1" applyBorder="1" applyAlignment="1">
      <alignment horizontal="center" wrapText="1"/>
    </xf>
    <xf numFmtId="0" fontId="27" fillId="12" borderId="31" xfId="0" applyFont="1" applyFill="1" applyBorder="1" applyAlignment="1">
      <alignment horizontal="center"/>
    </xf>
    <xf numFmtId="0" fontId="27" fillId="12" borderId="48" xfId="0" applyFont="1" applyFill="1" applyBorder="1" applyAlignment="1">
      <alignment horizontal="center"/>
    </xf>
    <xf numFmtId="0" fontId="27" fillId="12" borderId="49" xfId="0" applyFont="1" applyFill="1" applyBorder="1" applyAlignment="1">
      <alignment horizontal="center"/>
    </xf>
    <xf numFmtId="0" fontId="112" fillId="0" borderId="31" xfId="0" applyFont="1" applyBorder="1" applyAlignment="1">
      <alignment horizontal="justify" vertical="center" wrapText="1"/>
    </xf>
    <xf numFmtId="0" fontId="112" fillId="0" borderId="48" xfId="0" applyFont="1" applyBorder="1" applyAlignment="1">
      <alignment horizontal="justify" vertical="center" wrapText="1"/>
    </xf>
    <xf numFmtId="0" fontId="112" fillId="0" borderId="49" xfId="0" applyFont="1" applyBorder="1" applyAlignment="1">
      <alignment horizontal="justify" vertical="center" wrapText="1"/>
    </xf>
    <xf numFmtId="0" fontId="112" fillId="0" borderId="31" xfId="0" applyFont="1" applyBorder="1" applyAlignment="1">
      <alignment horizontal="left" vertical="center" wrapText="1"/>
    </xf>
    <xf numFmtId="0" fontId="109" fillId="0" borderId="48" xfId="0" applyFont="1" applyBorder="1" applyAlignment="1">
      <alignment horizontal="left" vertical="center" wrapText="1"/>
    </xf>
    <xf numFmtId="0" fontId="109" fillId="0" borderId="49" xfId="0" applyFont="1" applyBorder="1" applyAlignment="1">
      <alignment horizontal="left" vertical="center" wrapText="1"/>
    </xf>
    <xf numFmtId="0" fontId="66" fillId="0" borderId="124" xfId="0" applyFont="1" applyBorder="1" applyAlignment="1">
      <alignment horizontal="left" vertical="center" wrapText="1"/>
    </xf>
    <xf numFmtId="0" fontId="66" fillId="0" borderId="123" xfId="0" applyFont="1" applyBorder="1" applyAlignment="1">
      <alignment horizontal="left" vertical="center" wrapText="1"/>
    </xf>
    <xf numFmtId="0" fontId="66" fillId="0" borderId="125" xfId="0" applyFont="1" applyBorder="1" applyAlignment="1">
      <alignment horizontal="left" vertical="center" wrapText="1"/>
    </xf>
    <xf numFmtId="0" fontId="66" fillId="0" borderId="70" xfId="0" applyFont="1" applyBorder="1" applyAlignment="1">
      <alignment horizontal="left" vertical="center" wrapText="1"/>
    </xf>
    <xf numFmtId="0" fontId="66" fillId="0" borderId="113" xfId="0" applyFont="1" applyBorder="1" applyAlignment="1">
      <alignment horizontal="left" vertical="center" wrapText="1"/>
    </xf>
    <xf numFmtId="0" fontId="66" fillId="0" borderId="115" xfId="0" applyFont="1" applyBorder="1" applyAlignment="1">
      <alignment horizontal="left" vertical="center" wrapText="1"/>
    </xf>
    <xf numFmtId="0" fontId="66" fillId="0" borderId="31" xfId="0" applyFont="1" applyBorder="1" applyAlignment="1" applyProtection="1">
      <alignment horizontal="left" vertical="center" wrapText="1"/>
      <protection locked="0"/>
    </xf>
    <xf numFmtId="0" fontId="66" fillId="0" borderId="48" xfId="0" applyFont="1" applyBorder="1" applyAlignment="1" applyProtection="1">
      <alignment horizontal="left" vertical="center" wrapText="1"/>
      <protection locked="0"/>
    </xf>
    <xf numFmtId="0" fontId="66" fillId="0" borderId="49" xfId="0" applyFont="1" applyBorder="1" applyAlignment="1" applyProtection="1">
      <alignment horizontal="left" vertical="center" wrapText="1"/>
      <protection locked="0"/>
    </xf>
    <xf numFmtId="0" fontId="66" fillId="0" borderId="124" xfId="0" applyFont="1" applyBorder="1" applyAlignment="1">
      <alignment horizontal="justify" wrapText="1"/>
    </xf>
    <xf numFmtId="0" fontId="66" fillId="0" borderId="123" xfId="0" applyFont="1" applyBorder="1" applyAlignment="1">
      <alignment horizontal="justify" wrapText="1"/>
    </xf>
    <xf numFmtId="0" fontId="66" fillId="0" borderId="125" xfId="0" applyFont="1" applyBorder="1" applyAlignment="1">
      <alignment horizontal="justify" wrapText="1"/>
    </xf>
    <xf numFmtId="0" fontId="90" fillId="0" borderId="70" xfId="0" applyFont="1" applyBorder="1" applyAlignment="1">
      <alignment horizontal="justify" vertical="center" wrapText="1"/>
    </xf>
    <xf numFmtId="0" fontId="90" fillId="0" borderId="113" xfId="0" applyFont="1" applyBorder="1" applyAlignment="1">
      <alignment horizontal="justify" vertical="center" wrapText="1"/>
    </xf>
    <xf numFmtId="0" fontId="90" fillId="0" borderId="115" xfId="0" applyFont="1" applyBorder="1" applyAlignment="1">
      <alignment horizontal="justify" vertical="center" wrapText="1"/>
    </xf>
    <xf numFmtId="0" fontId="66" fillId="0" borderId="31" xfId="0" applyFont="1" applyBorder="1" applyAlignment="1" applyProtection="1">
      <alignment horizontal="justify" vertical="center" wrapText="1"/>
      <protection locked="0"/>
    </xf>
    <xf numFmtId="0" fontId="90" fillId="0" borderId="48" xfId="0" applyFont="1" applyBorder="1" applyAlignment="1" applyProtection="1">
      <alignment horizontal="justify" vertical="center" wrapText="1"/>
      <protection locked="0"/>
    </xf>
    <xf numFmtId="0" fontId="90" fillId="0" borderId="49" xfId="0" applyFont="1" applyBorder="1" applyAlignment="1" applyProtection="1">
      <alignment horizontal="justify" vertical="center" wrapText="1"/>
      <protection locked="0"/>
    </xf>
    <xf numFmtId="0" fontId="112" fillId="0" borderId="70" xfId="0" applyFont="1" applyBorder="1" applyAlignment="1">
      <alignment horizontal="justify" vertical="center" wrapText="1"/>
    </xf>
    <xf numFmtId="0" fontId="112" fillId="0" borderId="113" xfId="0" applyFont="1" applyBorder="1" applyAlignment="1">
      <alignment horizontal="justify" vertical="center" wrapText="1"/>
    </xf>
    <xf numFmtId="0" fontId="112" fillId="0" borderId="115" xfId="0" applyFont="1" applyBorder="1" applyAlignment="1">
      <alignment horizontal="justify" vertical="center" wrapText="1"/>
    </xf>
    <xf numFmtId="0" fontId="66" fillId="0" borderId="31" xfId="0" applyFont="1" applyBorder="1" applyAlignment="1">
      <alignment horizontal="justify" vertical="center" wrapText="1"/>
    </xf>
    <xf numFmtId="43" fontId="89" fillId="0" borderId="124" xfId="0" applyNumberFormat="1" applyFont="1" applyBorder="1" applyAlignment="1">
      <alignment horizontal="left" vertical="center" wrapText="1"/>
    </xf>
    <xf numFmtId="0" fontId="89" fillId="0" borderId="123" xfId="0" applyFont="1" applyBorder="1" applyAlignment="1">
      <alignment horizontal="left" vertical="center" wrapText="1"/>
    </xf>
    <xf numFmtId="0" fontId="89" fillId="0" borderId="125" xfId="0" applyFont="1" applyBorder="1" applyAlignment="1">
      <alignment horizontal="left" vertical="center" wrapText="1"/>
    </xf>
    <xf numFmtId="0" fontId="89" fillId="0" borderId="70" xfId="0" applyFont="1" applyBorder="1" applyAlignment="1">
      <alignment horizontal="left" vertical="center" wrapText="1"/>
    </xf>
    <xf numFmtId="0" fontId="89" fillId="0" borderId="113" xfId="0" applyFont="1" applyBorder="1" applyAlignment="1">
      <alignment horizontal="left" vertical="center" wrapText="1"/>
    </xf>
    <xf numFmtId="0" fontId="89" fillId="0" borderId="115" xfId="0" applyFont="1" applyBorder="1" applyAlignment="1">
      <alignment horizontal="left" vertical="center" wrapText="1"/>
    </xf>
    <xf numFmtId="0" fontId="66" fillId="0" borderId="48" xfId="0" applyFont="1" applyBorder="1" applyAlignment="1">
      <alignment horizontal="justify" vertical="center" wrapText="1"/>
    </xf>
    <xf numFmtId="0" fontId="66" fillId="0" borderId="49" xfId="0" applyFont="1" applyBorder="1" applyAlignment="1">
      <alignment horizontal="justify" vertical="center" wrapText="1"/>
    </xf>
    <xf numFmtId="0" fontId="90" fillId="0" borderId="31" xfId="0" applyFont="1" applyBorder="1" applyAlignment="1" applyProtection="1">
      <alignment vertical="center" wrapText="1"/>
      <protection locked="0"/>
    </xf>
    <xf numFmtId="0" fontId="90" fillId="0" borderId="48" xfId="0" applyFont="1" applyBorder="1" applyAlignment="1" applyProtection="1">
      <alignment vertical="center" wrapText="1"/>
      <protection locked="0"/>
    </xf>
    <xf numFmtId="0" fontId="90" fillId="0" borderId="49" xfId="0" applyFont="1" applyBorder="1" applyAlignment="1" applyProtection="1">
      <alignment vertical="center" wrapText="1"/>
      <protection locked="0"/>
    </xf>
    <xf numFmtId="0" fontId="90" fillId="12" borderId="31" xfId="0" applyFont="1" applyFill="1" applyBorder="1" applyAlignment="1">
      <alignment vertical="center" wrapText="1"/>
    </xf>
    <xf numFmtId="0" fontId="90" fillId="12" borderId="48" xfId="0" applyFont="1" applyFill="1" applyBorder="1" applyAlignment="1">
      <alignment vertical="center" wrapText="1"/>
    </xf>
    <xf numFmtId="0" fontId="90" fillId="12" borderId="49" xfId="0" applyFont="1" applyFill="1" applyBorder="1" applyAlignment="1">
      <alignment vertical="center" wrapText="1"/>
    </xf>
    <xf numFmtId="0" fontId="90" fillId="0" borderId="48" xfId="0" applyFont="1" applyBorder="1" applyAlignment="1" applyProtection="1">
      <alignment horizontal="left" vertical="center" wrapText="1"/>
      <protection locked="0"/>
    </xf>
    <xf numFmtId="0" fontId="90" fillId="0" borderId="49" xfId="0" applyFont="1" applyBorder="1" applyAlignment="1" applyProtection="1">
      <alignment horizontal="left" vertical="center" wrapText="1"/>
      <protection locked="0"/>
    </xf>
    <xf numFmtId="0" fontId="90" fillId="0" borderId="31" xfId="0" applyFont="1" applyFill="1" applyBorder="1" applyAlignment="1" applyProtection="1">
      <alignment vertical="center" wrapText="1"/>
      <protection locked="0"/>
    </xf>
    <xf numFmtId="0" fontId="90" fillId="0" borderId="48" xfId="0" applyFont="1" applyFill="1" applyBorder="1" applyAlignment="1" applyProtection="1">
      <alignment vertical="center" wrapText="1"/>
      <protection locked="0"/>
    </xf>
    <xf numFmtId="0" fontId="90" fillId="0" borderId="49" xfId="0" applyFont="1" applyFill="1" applyBorder="1" applyAlignment="1" applyProtection="1">
      <alignment vertical="center" wrapText="1"/>
      <protection locked="0"/>
    </xf>
    <xf numFmtId="0" fontId="66" fillId="0" borderId="31" xfId="0" applyNumberFormat="1" applyFont="1" applyBorder="1" applyAlignment="1" applyProtection="1">
      <alignment horizontal="left" vertical="center" wrapText="1"/>
      <protection locked="0"/>
    </xf>
    <xf numFmtId="0" fontId="66" fillId="0" borderId="48" xfId="0" applyNumberFormat="1" applyFont="1" applyBorder="1" applyAlignment="1" applyProtection="1">
      <alignment horizontal="left" vertical="center" wrapText="1"/>
      <protection locked="0"/>
    </xf>
    <xf numFmtId="0" fontId="66" fillId="0" borderId="49" xfId="0" applyNumberFormat="1" applyFont="1" applyBorder="1" applyAlignment="1" applyProtection="1">
      <alignment horizontal="left" vertical="center" wrapText="1"/>
      <protection locked="0"/>
    </xf>
    <xf numFmtId="0" fontId="95" fillId="0" borderId="31" xfId="0" applyFont="1" applyFill="1" applyBorder="1" applyAlignment="1" applyProtection="1">
      <alignment vertical="center" wrapText="1"/>
      <protection locked="0"/>
    </xf>
    <xf numFmtId="0" fontId="95" fillId="0" borderId="48" xfId="0" applyFont="1" applyFill="1" applyBorder="1" applyAlignment="1" applyProtection="1">
      <alignment vertical="center" wrapText="1"/>
      <protection locked="0"/>
    </xf>
    <xf numFmtId="0" fontId="95" fillId="0" borderId="49" xfId="0" applyFont="1" applyFill="1" applyBorder="1" applyAlignment="1" applyProtection="1">
      <alignment vertical="center" wrapText="1"/>
      <protection locked="0"/>
    </xf>
    <xf numFmtId="0" fontId="89" fillId="0" borderId="31" xfId="0" applyFont="1" applyBorder="1" applyAlignment="1" applyProtection="1">
      <alignment vertical="center" wrapText="1"/>
      <protection locked="0"/>
    </xf>
    <xf numFmtId="0" fontId="89" fillId="0" borderId="48" xfId="0" applyFont="1" applyBorder="1" applyAlignment="1" applyProtection="1">
      <alignment vertical="center" wrapText="1"/>
      <protection locked="0"/>
    </xf>
    <xf numFmtId="0" fontId="89" fillId="0" borderId="49" xfId="0" applyFont="1" applyBorder="1" applyAlignment="1" applyProtection="1">
      <alignment vertical="center" wrapText="1"/>
      <protection locked="0"/>
    </xf>
    <xf numFmtId="0" fontId="0" fillId="33" borderId="126" xfId="0" applyNumberFormat="1" applyFont="1" applyFill="1" applyBorder="1" applyAlignment="1" applyProtection="1">
      <alignment horizontal="left" vertical="center" wrapText="1"/>
      <protection locked="0"/>
    </xf>
    <xf numFmtId="0" fontId="0" fillId="33" borderId="127" xfId="0" applyNumberFormat="1" applyFont="1" applyFill="1" applyBorder="1" applyAlignment="1" applyProtection="1">
      <alignment horizontal="left" vertical="center" wrapText="1"/>
      <protection locked="0"/>
    </xf>
    <xf numFmtId="0" fontId="2" fillId="0" borderId="49" xfId="0" applyFont="1" applyFill="1" applyBorder="1" applyAlignment="1" applyProtection="1">
      <alignment horizontal="center" vertical="center" wrapText="1"/>
      <protection/>
    </xf>
    <xf numFmtId="0" fontId="2" fillId="0" borderId="128" xfId="0" applyFont="1" applyFill="1" applyBorder="1" applyAlignment="1" applyProtection="1">
      <alignment horizontal="center" vertical="center" wrapText="1"/>
      <protection/>
    </xf>
    <xf numFmtId="49" fontId="2" fillId="35" borderId="129" xfId="0" applyNumberFormat="1" applyFont="1" applyFill="1" applyBorder="1" applyAlignment="1" applyProtection="1">
      <alignment horizontal="center" vertical="center" wrapText="1"/>
      <protection locked="0"/>
    </xf>
    <xf numFmtId="0" fontId="2" fillId="12" borderId="49" xfId="0" applyNumberFormat="1" applyFont="1" applyFill="1" applyBorder="1" applyAlignment="1" applyProtection="1">
      <alignment horizontal="center" vertical="center" wrapText="1"/>
      <protection locked="0"/>
    </xf>
    <xf numFmtId="0" fontId="2" fillId="36" borderId="130" xfId="0" applyNumberFormat="1" applyFont="1" applyFill="1" applyBorder="1" applyAlignment="1" applyProtection="1">
      <alignment horizontal="center" vertical="center" wrapText="1"/>
      <protection locked="0"/>
    </xf>
    <xf numFmtId="0" fontId="2" fillId="36" borderId="131" xfId="0" applyNumberFormat="1" applyFont="1" applyFill="1" applyBorder="1" applyAlignment="1" applyProtection="1">
      <alignment horizontal="center" vertical="center" wrapText="1"/>
      <protection locked="0"/>
    </xf>
    <xf numFmtId="49" fontId="2" fillId="28" borderId="49" xfId="0" applyNumberFormat="1" applyFont="1" applyFill="1" applyBorder="1" applyAlignment="1" applyProtection="1">
      <alignment horizontal="center" vertical="center" wrapText="1"/>
      <protection locked="0"/>
    </xf>
    <xf numFmtId="49" fontId="2" fillId="28" borderId="128" xfId="0" applyNumberFormat="1" applyFont="1" applyFill="1" applyBorder="1" applyAlignment="1" applyProtection="1">
      <alignment horizontal="center" vertical="center" wrapText="1"/>
      <protection locked="0"/>
    </xf>
    <xf numFmtId="0" fontId="2" fillId="0" borderId="130" xfId="0" applyFont="1" applyFill="1" applyBorder="1" applyAlignment="1" applyProtection="1">
      <alignment horizontal="center" vertical="center" wrapText="1"/>
      <protection/>
    </xf>
    <xf numFmtId="9" fontId="37" fillId="0" borderId="132" xfId="110" applyFont="1" applyFill="1" applyBorder="1" applyAlignment="1" applyProtection="1">
      <alignment horizontal="center" vertical="center"/>
      <protection/>
    </xf>
    <xf numFmtId="9" fontId="37" fillId="0" borderId="133" xfId="110" applyFont="1" applyFill="1" applyBorder="1" applyAlignment="1" applyProtection="1">
      <alignment horizontal="center" vertical="center"/>
      <protection/>
    </xf>
    <xf numFmtId="9" fontId="37" fillId="0" borderId="134" xfId="110" applyFont="1" applyFill="1" applyBorder="1" applyAlignment="1" applyProtection="1">
      <alignment horizontal="center" vertical="center"/>
      <protection/>
    </xf>
    <xf numFmtId="49" fontId="2" fillId="35" borderId="135" xfId="0" applyNumberFormat="1" applyFont="1" applyFill="1" applyBorder="1" applyAlignment="1" applyProtection="1">
      <alignment horizontal="center" vertical="center" wrapText="1"/>
      <protection locked="0"/>
    </xf>
    <xf numFmtId="49" fontId="2" fillId="35" borderId="114" xfId="0" applyNumberFormat="1" applyFont="1" applyFill="1" applyBorder="1" applyAlignment="1" applyProtection="1">
      <alignment horizontal="center" vertical="center" wrapText="1"/>
      <protection locked="0"/>
    </xf>
    <xf numFmtId="49" fontId="2" fillId="12" borderId="49" xfId="0" applyNumberFormat="1" applyFont="1" applyFill="1" applyBorder="1" applyAlignment="1" applyProtection="1">
      <alignment horizontal="center" vertical="center" wrapText="1"/>
      <protection locked="0"/>
    </xf>
    <xf numFmtId="49" fontId="2" fillId="28" borderId="136" xfId="0" applyNumberFormat="1" applyFont="1" applyFill="1" applyBorder="1" applyAlignment="1" applyProtection="1">
      <alignment horizontal="center" vertical="center" wrapText="1"/>
      <protection locked="0"/>
    </xf>
    <xf numFmtId="49" fontId="2" fillId="28" borderId="137" xfId="0" applyNumberFormat="1" applyFont="1" applyFill="1" applyBorder="1" applyAlignment="1" applyProtection="1">
      <alignment horizontal="center" vertical="center" wrapText="1"/>
      <protection locked="0"/>
    </xf>
    <xf numFmtId="0" fontId="0" fillId="24" borderId="138" xfId="0" applyFill="1" applyBorder="1" applyAlignment="1" applyProtection="1">
      <alignment horizontal="center"/>
      <protection/>
    </xf>
    <xf numFmtId="0" fontId="0" fillId="24" borderId="139" xfId="0" applyFill="1" applyBorder="1" applyAlignment="1" applyProtection="1">
      <alignment horizontal="center"/>
      <protection/>
    </xf>
    <xf numFmtId="0" fontId="0" fillId="24" borderId="140" xfId="0" applyFill="1" applyBorder="1" applyAlignment="1" applyProtection="1">
      <alignment horizontal="center"/>
      <protection/>
    </xf>
    <xf numFmtId="0" fontId="2" fillId="0" borderId="112" xfId="0" applyFont="1" applyFill="1" applyBorder="1" applyAlignment="1" applyProtection="1">
      <alignment horizontal="left" vertical="center" wrapText="1"/>
      <protection/>
    </xf>
    <xf numFmtId="0" fontId="2" fillId="0" borderId="113" xfId="0" applyFont="1" applyFill="1" applyBorder="1" applyAlignment="1" applyProtection="1">
      <alignment horizontal="left" vertical="center" wrapText="1"/>
      <protection/>
    </xf>
    <xf numFmtId="0" fontId="2" fillId="0" borderId="117" xfId="0" applyFont="1" applyFill="1" applyBorder="1" applyAlignment="1" applyProtection="1">
      <alignment horizontal="left" vertical="center" wrapText="1"/>
      <protection/>
    </xf>
    <xf numFmtId="0" fontId="2" fillId="0" borderId="141" xfId="0" applyFont="1" applyFill="1" applyBorder="1" applyAlignment="1" applyProtection="1">
      <alignment horizontal="left" vertical="center" wrapText="1"/>
      <protection/>
    </xf>
    <xf numFmtId="0" fontId="2" fillId="0" borderId="142" xfId="0" applyFont="1" applyFill="1" applyBorder="1" applyAlignment="1" applyProtection="1">
      <alignment horizontal="left" vertical="center" wrapText="1"/>
      <protection/>
    </xf>
    <xf numFmtId="0" fontId="2" fillId="0" borderId="143" xfId="0" applyFont="1" applyFill="1" applyBorder="1" applyAlignment="1" applyProtection="1">
      <alignment horizontal="left" vertical="center" wrapText="1"/>
      <protection/>
    </xf>
    <xf numFmtId="0" fontId="0" fillId="33" borderId="144" xfId="0" applyNumberFormat="1" applyFont="1" applyFill="1" applyBorder="1" applyAlignment="1" applyProtection="1">
      <alignment horizontal="left" vertical="center" wrapText="1"/>
      <protection locked="0"/>
    </xf>
    <xf numFmtId="0" fontId="0" fillId="33" borderId="145" xfId="0" applyNumberFormat="1" applyFont="1" applyFill="1" applyBorder="1" applyAlignment="1" applyProtection="1">
      <alignment horizontal="left" vertical="center" wrapText="1"/>
      <protection locked="0"/>
    </xf>
    <xf numFmtId="0" fontId="2" fillId="30" borderId="130" xfId="0" applyFont="1" applyFill="1" applyBorder="1" applyAlignment="1" applyProtection="1">
      <alignment horizontal="center" vertical="center" wrapText="1"/>
      <protection/>
    </xf>
    <xf numFmtId="0" fontId="2" fillId="30" borderId="49" xfId="0" applyFont="1" applyFill="1" applyBorder="1" applyAlignment="1" applyProtection="1">
      <alignment horizontal="center" vertical="center" wrapText="1"/>
      <protection/>
    </xf>
    <xf numFmtId="49" fontId="2" fillId="28" borderId="136" xfId="0" applyNumberFormat="1" applyFont="1" applyFill="1" applyBorder="1" applyAlignment="1" applyProtection="1">
      <alignment horizontal="center" vertical="center" wrapText="1"/>
      <protection locked="0"/>
    </xf>
    <xf numFmtId="0" fontId="2" fillId="0" borderId="131" xfId="0" applyFont="1" applyFill="1" applyBorder="1" applyAlignment="1" applyProtection="1">
      <alignment horizontal="center" vertical="center" wrapText="1"/>
      <protection/>
    </xf>
    <xf numFmtId="43" fontId="18" fillId="22" borderId="12" xfId="128"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2" fillId="12" borderId="136" xfId="0" applyNumberFormat="1" applyFont="1" applyFill="1" applyBorder="1" applyAlignment="1" applyProtection="1">
      <alignment horizontal="center" vertical="center" wrapText="1"/>
      <protection locked="0"/>
    </xf>
    <xf numFmtId="49" fontId="2" fillId="12" borderId="137" xfId="0" applyNumberFormat="1" applyFont="1" applyFill="1" applyBorder="1" applyAlignment="1" applyProtection="1">
      <alignment horizontal="center" vertical="center" wrapText="1"/>
      <protection locked="0"/>
    </xf>
    <xf numFmtId="0" fontId="0" fillId="0" borderId="146" xfId="0" applyBorder="1" applyAlignment="1" applyProtection="1">
      <alignment horizontal="center"/>
      <protection/>
    </xf>
    <xf numFmtId="0" fontId="0" fillId="0" borderId="23" xfId="0" applyBorder="1" applyAlignment="1" applyProtection="1">
      <alignment horizontal="center"/>
      <protection/>
    </xf>
    <xf numFmtId="0" fontId="85" fillId="0" borderId="147" xfId="0" applyFont="1" applyBorder="1" applyAlignment="1" applyProtection="1">
      <alignment horizontal="right"/>
      <protection/>
    </xf>
    <xf numFmtId="0" fontId="17" fillId="0" borderId="147" xfId="0" applyFont="1" applyBorder="1" applyAlignment="1">
      <alignment/>
    </xf>
    <xf numFmtId="0" fontId="0" fillId="0" borderId="148" xfId="0" applyFill="1" applyBorder="1" applyAlignment="1" applyProtection="1">
      <alignment horizontal="center" vertical="center"/>
      <protection locked="0"/>
    </xf>
    <xf numFmtId="0" fontId="0" fillId="0" borderId="149" xfId="0" applyFill="1" applyBorder="1" applyAlignment="1" applyProtection="1">
      <alignment horizontal="center" vertical="center"/>
      <protection locked="0"/>
    </xf>
    <xf numFmtId="0" fontId="0" fillId="0" borderId="150" xfId="0" applyFill="1" applyBorder="1" applyAlignment="1" applyProtection="1">
      <alignment horizontal="center" vertical="center"/>
      <protection locked="0"/>
    </xf>
    <xf numFmtId="49" fontId="0" fillId="0" borderId="31" xfId="0" applyNumberFormat="1" applyBorder="1" applyAlignment="1" applyProtection="1">
      <alignment horizontal="center"/>
      <protection locked="0"/>
    </xf>
    <xf numFmtId="49" fontId="0" fillId="0" borderId="49" xfId="0" applyNumberFormat="1" applyBorder="1" applyAlignment="1" applyProtection="1">
      <alignment horizontal="center"/>
      <protection locked="0"/>
    </xf>
    <xf numFmtId="43" fontId="64" fillId="26" borderId="0" xfId="90" applyFont="1" applyFill="1" applyAlignment="1" applyProtection="1">
      <alignment horizontal="center" vertical="center"/>
      <protection/>
    </xf>
    <xf numFmtId="0" fontId="2" fillId="0" borderId="151" xfId="0" applyFont="1" applyFill="1" applyBorder="1" applyAlignment="1" applyProtection="1">
      <alignment horizontal="left" vertical="center" wrapText="1"/>
      <protection/>
    </xf>
    <xf numFmtId="0" fontId="2" fillId="0" borderId="152" xfId="0" applyFont="1" applyFill="1" applyBorder="1" applyAlignment="1" applyProtection="1">
      <alignment horizontal="left" vertical="center" wrapText="1"/>
      <protection/>
    </xf>
    <xf numFmtId="0" fontId="2" fillId="0" borderId="153" xfId="0" applyFont="1" applyFill="1" applyBorder="1" applyAlignment="1" applyProtection="1">
      <alignment horizontal="left" vertical="center" wrapText="1"/>
      <protection/>
    </xf>
    <xf numFmtId="0" fontId="2" fillId="0" borderId="154" xfId="0" applyFont="1" applyFill="1" applyBorder="1" applyAlignment="1" applyProtection="1">
      <alignment horizontal="left" vertical="center" wrapText="1"/>
      <protection/>
    </xf>
    <xf numFmtId="0" fontId="2" fillId="0" borderId="48" xfId="0" applyFont="1" applyFill="1" applyBorder="1" applyAlignment="1" applyProtection="1">
      <alignment horizontal="left" vertical="center" wrapText="1"/>
      <protection/>
    </xf>
    <xf numFmtId="0" fontId="2" fillId="0" borderId="155" xfId="0" applyFont="1" applyFill="1" applyBorder="1" applyAlignment="1" applyProtection="1">
      <alignment horizontal="left" vertical="center" wrapText="1"/>
      <protection/>
    </xf>
    <xf numFmtId="0" fontId="2" fillId="30" borderId="154" xfId="0" applyFont="1" applyFill="1" applyBorder="1" applyAlignment="1" applyProtection="1">
      <alignment horizontal="left" vertical="center" wrapText="1"/>
      <protection/>
    </xf>
    <xf numFmtId="0" fontId="2" fillId="30" borderId="48" xfId="0" applyFont="1" applyFill="1" applyBorder="1" applyAlignment="1" applyProtection="1">
      <alignment horizontal="left" vertical="center" wrapText="1"/>
      <protection/>
    </xf>
    <xf numFmtId="0" fontId="2" fillId="30" borderId="155" xfId="0" applyFont="1" applyFill="1" applyBorder="1" applyAlignment="1" applyProtection="1">
      <alignment horizontal="left" vertical="center" wrapText="1"/>
      <protection/>
    </xf>
    <xf numFmtId="0" fontId="0" fillId="33" borderId="156" xfId="0" applyNumberFormat="1" applyFont="1" applyFill="1" applyBorder="1" applyAlignment="1" applyProtection="1">
      <alignment horizontal="left" vertical="center" wrapText="1"/>
      <protection locked="0"/>
    </xf>
    <xf numFmtId="0" fontId="0" fillId="33" borderId="157" xfId="0" applyNumberFormat="1" applyFont="1" applyFill="1" applyBorder="1" applyAlignment="1" applyProtection="1">
      <alignment horizontal="left" vertical="center" wrapText="1"/>
      <protection locked="0"/>
    </xf>
    <xf numFmtId="191" fontId="2" fillId="36" borderId="130" xfId="0" applyNumberFormat="1" applyFont="1" applyFill="1" applyBorder="1" applyAlignment="1" applyProtection="1">
      <alignment horizontal="center" vertical="center" wrapText="1"/>
      <protection locked="0"/>
    </xf>
    <xf numFmtId="0" fontId="0" fillId="12" borderId="31" xfId="0" applyFill="1" applyBorder="1" applyAlignment="1" applyProtection="1">
      <alignment horizontal="center"/>
      <protection/>
    </xf>
    <xf numFmtId="0" fontId="0" fillId="12" borderId="49" xfId="0" applyFill="1" applyBorder="1" applyAlignment="1" applyProtection="1">
      <alignment horizontal="center"/>
      <protection/>
    </xf>
    <xf numFmtId="3" fontId="0" fillId="0" borderId="31" xfId="0" applyNumberFormat="1" applyBorder="1" applyAlignment="1" applyProtection="1">
      <alignment horizontal="center"/>
      <protection locked="0"/>
    </xf>
    <xf numFmtId="3" fontId="0" fillId="0" borderId="49" xfId="0" applyNumberForma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49" fontId="0" fillId="0" borderId="48" xfId="0" applyNumberFormat="1" applyBorder="1" applyAlignment="1" applyProtection="1">
      <alignment horizontal="center"/>
      <protection locked="0"/>
    </xf>
    <xf numFmtId="0" fontId="97" fillId="0" borderId="0" xfId="0" applyFont="1" applyBorder="1" applyAlignment="1" applyProtection="1">
      <alignment horizontal="right"/>
      <protection/>
    </xf>
    <xf numFmtId="0" fontId="97" fillId="0" borderId="158" xfId="0" applyFont="1" applyBorder="1" applyAlignment="1" applyProtection="1">
      <alignment horizontal="right"/>
      <protection/>
    </xf>
    <xf numFmtId="0" fontId="97" fillId="0" borderId="54" xfId="0" applyFont="1" applyBorder="1" applyAlignment="1" applyProtection="1">
      <alignment horizontal="right"/>
      <protection/>
    </xf>
    <xf numFmtId="15" fontId="1" fillId="0" borderId="12" xfId="128" applyNumberFormat="1" applyFont="1" applyFill="1" applyBorder="1" applyAlignment="1" applyProtection="1">
      <alignment horizontal="center"/>
      <protection locked="0"/>
    </xf>
    <xf numFmtId="15" fontId="0" fillId="0" borderId="12" xfId="128" applyNumberFormat="1" applyFill="1" applyBorder="1" applyAlignment="1" applyProtection="1">
      <alignment horizontal="center"/>
      <protection locked="0"/>
    </xf>
    <xf numFmtId="0" fontId="97" fillId="0" borderId="0" xfId="0" applyFont="1" applyAlignment="1" applyProtection="1">
      <alignment horizontal="right"/>
      <protection/>
    </xf>
    <xf numFmtId="49" fontId="17" fillId="0" borderId="27" xfId="0" applyNumberFormat="1" applyFont="1" applyBorder="1" applyAlignment="1" applyProtection="1">
      <alignment horizontal="center"/>
      <protection/>
    </xf>
    <xf numFmtId="49" fontId="17" fillId="0" borderId="51" xfId="0" applyNumberFormat="1" applyFont="1" applyBorder="1" applyAlignment="1" applyProtection="1">
      <alignment horizontal="center"/>
      <protection/>
    </xf>
    <xf numFmtId="0" fontId="78" fillId="0" borderId="151" xfId="0" applyFont="1" applyFill="1" applyBorder="1" applyAlignment="1" applyProtection="1">
      <alignment horizontal="center" vertical="center"/>
      <protection/>
    </xf>
    <xf numFmtId="0" fontId="78" fillId="0" borderId="152" xfId="0" applyFont="1" applyFill="1" applyBorder="1" applyAlignment="1" applyProtection="1">
      <alignment horizontal="center" vertical="center"/>
      <protection/>
    </xf>
    <xf numFmtId="0" fontId="78" fillId="0" borderId="153" xfId="0" applyFont="1" applyFill="1" applyBorder="1" applyAlignment="1" applyProtection="1">
      <alignment horizontal="center" vertical="center"/>
      <protection/>
    </xf>
    <xf numFmtId="49" fontId="17" fillId="0" borderId="25" xfId="0" applyNumberFormat="1" applyFont="1" applyBorder="1" applyAlignment="1" applyProtection="1">
      <alignment horizontal="center"/>
      <protection/>
    </xf>
    <xf numFmtId="49" fontId="17" fillId="0" borderId="12" xfId="0" applyNumberFormat="1" applyFont="1" applyBorder="1" applyAlignment="1" applyProtection="1">
      <alignment horizontal="center"/>
      <protection/>
    </xf>
    <xf numFmtId="0" fontId="0" fillId="10" borderId="159" xfId="0" applyFill="1" applyBorder="1" applyAlignment="1" applyProtection="1">
      <alignment horizontal="center" vertical="center" textRotation="90"/>
      <protection/>
    </xf>
    <xf numFmtId="43" fontId="17" fillId="0" borderId="160" xfId="0" applyNumberFormat="1" applyFont="1" applyBorder="1" applyAlignment="1" applyProtection="1">
      <alignment horizontal="center"/>
      <protection/>
    </xf>
    <xf numFmtId="0" fontId="17" fillId="0" borderId="161" xfId="0" applyFont="1" applyBorder="1" applyAlignment="1" applyProtection="1">
      <alignment horizontal="center"/>
      <protection/>
    </xf>
    <xf numFmtId="0" fontId="17" fillId="0" borderId="162" xfId="0" applyFont="1" applyBorder="1" applyAlignment="1" applyProtection="1">
      <alignment horizontal="center"/>
      <protection/>
    </xf>
    <xf numFmtId="0" fontId="29" fillId="0" borderId="163" xfId="0" applyFont="1" applyBorder="1" applyAlignment="1" applyProtection="1">
      <alignment horizontal="center" wrapText="1"/>
      <protection/>
    </xf>
    <xf numFmtId="0" fontId="29" fillId="0" borderId="164" xfId="0" applyFont="1" applyBorder="1" applyAlignment="1" applyProtection="1">
      <alignment horizontal="center" wrapText="1"/>
      <protection/>
    </xf>
    <xf numFmtId="0" fontId="29" fillId="0" borderId="165" xfId="0" applyFont="1" applyBorder="1" applyAlignment="1" applyProtection="1">
      <alignment horizontal="center" wrapText="1"/>
      <protection/>
    </xf>
    <xf numFmtId="43" fontId="27" fillId="13" borderId="45" xfId="128" applyFont="1" applyFill="1" applyBorder="1" applyAlignment="1" applyProtection="1">
      <alignment horizontal="center"/>
      <protection/>
    </xf>
    <xf numFmtId="43" fontId="1" fillId="0" borderId="45" xfId="128" applyFont="1" applyFill="1" applyBorder="1" applyAlignment="1" applyProtection="1">
      <alignment horizontal="right"/>
      <protection/>
    </xf>
    <xf numFmtId="43" fontId="107" fillId="34" borderId="45" xfId="128" applyFont="1" applyFill="1" applyBorder="1" applyAlignment="1" applyProtection="1">
      <alignment horizontal="center"/>
      <protection/>
    </xf>
    <xf numFmtId="15" fontId="27" fillId="13" borderId="45" xfId="128" applyNumberFormat="1" applyFont="1" applyFill="1" applyBorder="1" applyAlignment="1" applyProtection="1">
      <alignment horizontal="center"/>
      <protection/>
    </xf>
    <xf numFmtId="0" fontId="0" fillId="0" borderId="45" xfId="0" applyBorder="1" applyAlignment="1">
      <alignment/>
    </xf>
    <xf numFmtId="43" fontId="20" fillId="26" borderId="0" xfId="90" applyFont="1" applyFill="1" applyAlignment="1" applyProtection="1">
      <alignment horizontal="center" vertical="center"/>
      <protection/>
    </xf>
    <xf numFmtId="43" fontId="37" fillId="13" borderId="0" xfId="101" applyFont="1" applyFill="1" applyAlignment="1" applyProtection="1">
      <alignment horizontal="center" vertical="center" wrapText="1"/>
      <protection/>
    </xf>
    <xf numFmtId="198" fontId="27" fillId="13" borderId="45" xfId="128" applyNumberFormat="1" applyFont="1" applyFill="1" applyBorder="1" applyAlignment="1" applyProtection="1">
      <alignment horizontal="center" vertical="center"/>
      <protection/>
    </xf>
    <xf numFmtId="43" fontId="1" fillId="0" borderId="45" xfId="128" applyFont="1" applyBorder="1" applyAlignment="1" applyProtection="1">
      <alignment horizontal="right"/>
      <protection/>
    </xf>
    <xf numFmtId="43" fontId="23" fillId="0" borderId="0" xfId="101" applyFont="1" applyFill="1" applyAlignment="1" applyProtection="1">
      <alignment horizontal="right" vertical="center"/>
      <protection/>
    </xf>
    <xf numFmtId="43" fontId="27" fillId="13" borderId="0" xfId="101" applyFont="1" applyFill="1" applyAlignment="1" applyProtection="1">
      <alignment horizontal="center" vertical="center" wrapText="1"/>
      <protection/>
    </xf>
    <xf numFmtId="0" fontId="108" fillId="0" borderId="166" xfId="0" applyFont="1" applyFill="1" applyBorder="1" applyAlignment="1" applyProtection="1">
      <alignment horizontal="left" wrapText="1"/>
      <protection/>
    </xf>
    <xf numFmtId="0" fontId="108" fillId="0" borderId="102" xfId="0" applyFont="1" applyFill="1" applyBorder="1" applyAlignment="1" applyProtection="1">
      <alignment horizontal="left" wrapText="1"/>
      <protection/>
    </xf>
    <xf numFmtId="0" fontId="108" fillId="0" borderId="167" xfId="0" applyFont="1" applyFill="1" applyBorder="1" applyAlignment="1" applyProtection="1">
      <alignment horizontal="left" wrapText="1"/>
      <protection/>
    </xf>
    <xf numFmtId="0" fontId="108" fillId="0" borderId="168" xfId="0" applyFont="1" applyFill="1" applyBorder="1" applyAlignment="1" applyProtection="1">
      <alignment horizontal="left" wrapText="1"/>
      <protection/>
    </xf>
    <xf numFmtId="43" fontId="17" fillId="0" borderId="0" xfId="0" applyNumberFormat="1" applyFont="1" applyAlignment="1" applyProtection="1">
      <alignment horizontal="center" wrapText="1"/>
      <protection/>
    </xf>
    <xf numFmtId="43" fontId="31" fillId="0" borderId="0" xfId="0" applyNumberFormat="1" applyFont="1" applyAlignment="1" applyProtection="1">
      <alignment horizontal="right"/>
      <protection/>
    </xf>
    <xf numFmtId="15" fontId="31" fillId="0" borderId="0" xfId="0" applyNumberFormat="1" applyFont="1" applyAlignment="1" applyProtection="1">
      <alignment horizontal="right"/>
      <protection/>
    </xf>
    <xf numFmtId="43" fontId="17" fillId="0" borderId="0" xfId="0" applyNumberFormat="1" applyFont="1" applyAlignment="1" applyProtection="1">
      <alignment horizontal="center"/>
      <protection/>
    </xf>
    <xf numFmtId="43" fontId="31" fillId="0" borderId="0" xfId="0" applyNumberFormat="1" applyFont="1" applyAlignment="1" applyProtection="1">
      <alignment horizontal="left"/>
      <protection/>
    </xf>
    <xf numFmtId="43" fontId="18" fillId="34" borderId="0" xfId="128" applyFont="1" applyFill="1" applyBorder="1" applyAlignment="1" applyProtection="1">
      <alignment horizontal="center"/>
      <protection/>
    </xf>
    <xf numFmtId="0" fontId="103" fillId="0" borderId="0" xfId="0" applyFont="1" applyAlignment="1" applyProtection="1">
      <alignment horizontal="center"/>
      <protection/>
    </xf>
    <xf numFmtId="43" fontId="102" fillId="0" borderId="138" xfId="0" applyNumberFormat="1" applyFont="1" applyBorder="1" applyAlignment="1" applyProtection="1">
      <alignment horizontal="center" vertical="center" wrapText="1"/>
      <protection/>
    </xf>
    <xf numFmtId="43" fontId="102" fillId="0" borderId="139" xfId="0" applyNumberFormat="1" applyFont="1" applyBorder="1" applyAlignment="1" applyProtection="1">
      <alignment horizontal="center" vertical="center" wrapText="1"/>
      <protection/>
    </xf>
    <xf numFmtId="43" fontId="102" fillId="0" borderId="140" xfId="0" applyNumberFormat="1" applyFont="1" applyBorder="1" applyAlignment="1" applyProtection="1">
      <alignment horizontal="center" vertical="center" wrapText="1"/>
      <protection/>
    </xf>
    <xf numFmtId="0" fontId="0" fillId="0" borderId="169" xfId="0" applyBorder="1" applyAlignment="1" applyProtection="1">
      <alignment horizontal="center"/>
      <protection/>
    </xf>
    <xf numFmtId="0" fontId="0" fillId="0" borderId="68" xfId="0" applyBorder="1" applyAlignment="1" applyProtection="1">
      <alignment horizontal="center"/>
      <protection/>
    </xf>
    <xf numFmtId="0" fontId="33" fillId="12" borderId="31" xfId="0" applyFont="1" applyFill="1" applyBorder="1" applyAlignment="1" applyProtection="1">
      <alignment horizontal="left" wrapText="1"/>
      <protection locked="0"/>
    </xf>
    <xf numFmtId="0" fontId="0" fillId="0" borderId="48" xfId="0" applyBorder="1" applyAlignment="1" applyProtection="1">
      <alignment horizontal="left" wrapText="1"/>
      <protection locked="0"/>
    </xf>
    <xf numFmtId="0" fontId="0" fillId="0" borderId="49" xfId="0" applyBorder="1" applyAlignment="1" applyProtection="1">
      <alignment horizontal="left" wrapText="1"/>
      <protection locked="0"/>
    </xf>
    <xf numFmtId="0" fontId="38" fillId="12" borderId="31" xfId="0" applyFont="1" applyFill="1" applyBorder="1" applyAlignment="1" applyProtection="1">
      <alignment horizontal="left" wrapText="1"/>
      <protection locked="0"/>
    </xf>
    <xf numFmtId="0" fontId="38" fillId="12" borderId="48" xfId="0" applyFont="1" applyFill="1" applyBorder="1" applyAlignment="1" applyProtection="1">
      <alignment horizontal="left" wrapText="1"/>
      <protection locked="0"/>
    </xf>
    <xf numFmtId="0" fontId="38" fillId="12" borderId="49" xfId="0" applyFont="1" applyFill="1" applyBorder="1" applyAlignment="1" applyProtection="1">
      <alignment horizontal="left" wrapText="1"/>
      <protection locked="0"/>
    </xf>
    <xf numFmtId="43" fontId="31" fillId="0" borderId="0" xfId="0" applyNumberFormat="1" applyFont="1" applyAlignment="1">
      <alignment horizontal="left"/>
    </xf>
    <xf numFmtId="43" fontId="17" fillId="0" borderId="0" xfId="0" applyNumberFormat="1" applyFont="1" applyAlignment="1">
      <alignment horizontal="center"/>
    </xf>
    <xf numFmtId="0" fontId="0" fillId="0" borderId="148" xfId="0" applyFill="1" applyBorder="1" applyAlignment="1" applyProtection="1">
      <alignment horizontal="center" vertical="center"/>
      <protection/>
    </xf>
    <xf numFmtId="0" fontId="0" fillId="0" borderId="149" xfId="0" applyFill="1" applyBorder="1" applyAlignment="1" applyProtection="1">
      <alignment horizontal="center" vertical="center"/>
      <protection/>
    </xf>
    <xf numFmtId="0" fontId="0" fillId="0" borderId="150" xfId="0" applyFill="1" applyBorder="1" applyAlignment="1" applyProtection="1">
      <alignment horizontal="center" vertical="center"/>
      <protection/>
    </xf>
    <xf numFmtId="43" fontId="31" fillId="0" borderId="0" xfId="0" applyNumberFormat="1" applyFont="1" applyAlignment="1">
      <alignment horizontal="right"/>
    </xf>
    <xf numFmtId="15" fontId="31" fillId="0" borderId="0" xfId="0" applyNumberFormat="1" applyFont="1" applyAlignment="1">
      <alignment horizontal="right"/>
    </xf>
    <xf numFmtId="0" fontId="0" fillId="0" borderId="48" xfId="0" applyBorder="1" applyAlignment="1">
      <alignment horizontal="left" wrapText="1"/>
    </xf>
    <xf numFmtId="0" fontId="0" fillId="0" borderId="49" xfId="0" applyBorder="1" applyAlignment="1">
      <alignment horizontal="left" wrapText="1"/>
    </xf>
    <xf numFmtId="0" fontId="86" fillId="0" borderId="0" xfId="0" applyFont="1" applyAlignment="1">
      <alignment horizontal="left" wrapText="1"/>
    </xf>
    <xf numFmtId="43" fontId="64" fillId="26" borderId="0" xfId="99" applyFont="1" applyFill="1" applyAlignment="1">
      <alignment horizontal="center" vertical="center"/>
      <protection/>
    </xf>
    <xf numFmtId="0" fontId="103" fillId="0" borderId="0" xfId="0" applyFont="1" applyAlignment="1">
      <alignment horizontal="center"/>
    </xf>
    <xf numFmtId="0" fontId="17" fillId="0" borderId="0" xfId="0" applyFont="1" applyBorder="1" applyAlignment="1">
      <alignment horizontal="center"/>
    </xf>
    <xf numFmtId="43" fontId="64" fillId="26" borderId="0" xfId="99" applyFont="1" applyFill="1" applyAlignment="1" applyProtection="1">
      <alignment horizontal="center" vertical="center"/>
      <protection/>
    </xf>
    <xf numFmtId="0" fontId="38" fillId="0" borderId="123" xfId="0" applyFont="1" applyBorder="1" applyAlignment="1" applyProtection="1">
      <alignment horizontal="left" vertical="center"/>
      <protection/>
    </xf>
    <xf numFmtId="43" fontId="103" fillId="0" borderId="0" xfId="0" applyNumberFormat="1" applyFont="1" applyAlignment="1" applyProtection="1">
      <alignment horizontal="center"/>
      <protection/>
    </xf>
    <xf numFmtId="43" fontId="37" fillId="0" borderId="0" xfId="0" applyNumberFormat="1" applyFont="1" applyAlignment="1" applyProtection="1">
      <alignment horizontal="center"/>
      <protection/>
    </xf>
    <xf numFmtId="43" fontId="18" fillId="34" borderId="0" xfId="129" applyFont="1" applyFill="1" applyBorder="1" applyAlignment="1" applyProtection="1">
      <alignment horizontal="center"/>
      <protection/>
    </xf>
    <xf numFmtId="9" fontId="31" fillId="0" borderId="31" xfId="110" applyFont="1" applyBorder="1" applyAlignment="1" applyProtection="1">
      <alignment horizontal="center" vertical="center" wrapText="1"/>
      <protection/>
    </xf>
    <xf numFmtId="9" fontId="31" fillId="0" borderId="48" xfId="110" applyFont="1" applyBorder="1" applyAlignment="1" applyProtection="1">
      <alignment horizontal="center" vertical="center" wrapText="1"/>
      <protection/>
    </xf>
    <xf numFmtId="9" fontId="31" fillId="0" borderId="49" xfId="110" applyFont="1" applyBorder="1" applyAlignment="1" applyProtection="1">
      <alignment horizontal="center" vertical="center" wrapText="1"/>
      <protection/>
    </xf>
    <xf numFmtId="9" fontId="38" fillId="12" borderId="12" xfId="111" applyFont="1" applyFill="1" applyBorder="1" applyAlignment="1" applyProtection="1">
      <alignment horizontal="left" vertical="center" wrapText="1"/>
      <protection locked="0"/>
    </xf>
    <xf numFmtId="0" fontId="38" fillId="0" borderId="31" xfId="0" applyFont="1" applyBorder="1" applyAlignment="1" applyProtection="1">
      <alignment horizontal="center" vertical="center"/>
      <protection/>
    </xf>
    <xf numFmtId="0" fontId="38" fillId="0" borderId="48" xfId="0" applyFont="1" applyBorder="1" applyAlignment="1" applyProtection="1">
      <alignment horizontal="center" vertical="center"/>
      <protection/>
    </xf>
    <xf numFmtId="0" fontId="38" fillId="0" borderId="49" xfId="0" applyFont="1" applyBorder="1" applyAlignment="1" applyProtection="1">
      <alignment horizontal="center" vertical="center"/>
      <protection/>
    </xf>
    <xf numFmtId="0" fontId="38" fillId="0" borderId="12" xfId="0" applyFont="1" applyBorder="1" applyAlignment="1" applyProtection="1">
      <alignment vertical="center" wrapText="1"/>
      <protection/>
    </xf>
    <xf numFmtId="9" fontId="40" fillId="24" borderId="31" xfId="110" applyFont="1" applyFill="1" applyBorder="1" applyAlignment="1" applyProtection="1">
      <alignment horizontal="center" vertical="center" wrapText="1"/>
      <protection/>
    </xf>
    <xf numFmtId="9" fontId="40" fillId="24" borderId="49" xfId="110" applyFont="1" applyFill="1" applyBorder="1" applyAlignment="1" applyProtection="1">
      <alignment horizontal="center" vertical="center" wrapText="1"/>
      <protection/>
    </xf>
    <xf numFmtId="9" fontId="40" fillId="37" borderId="31" xfId="110" applyFont="1" applyFill="1" applyBorder="1" applyAlignment="1" applyProtection="1">
      <alignment horizontal="center" vertical="center" wrapText="1"/>
      <protection/>
    </xf>
    <xf numFmtId="9" fontId="40" fillId="37" borderId="49" xfId="110" applyFont="1" applyFill="1" applyBorder="1" applyAlignment="1" applyProtection="1">
      <alignment horizontal="center" vertical="center" wrapText="1"/>
      <protection/>
    </xf>
    <xf numFmtId="0" fontId="37" fillId="0" borderId="113" xfId="0" applyFont="1" applyBorder="1" applyAlignment="1" applyProtection="1">
      <alignment horizontal="center"/>
      <protection/>
    </xf>
    <xf numFmtId="0" fontId="38" fillId="0" borderId="12" xfId="0" applyFont="1" applyBorder="1" applyAlignment="1" applyProtection="1">
      <alignment horizontal="center" vertical="center" wrapText="1"/>
      <protection/>
    </xf>
    <xf numFmtId="0" fontId="38" fillId="2" borderId="0" xfId="0" applyFont="1" applyFill="1" applyAlignment="1" applyProtection="1">
      <alignment horizontal="center" vertical="center" wrapText="1"/>
      <protection/>
    </xf>
    <xf numFmtId="0" fontId="38" fillId="0" borderId="31" xfId="0" applyFont="1" applyBorder="1" applyAlignment="1" applyProtection="1">
      <alignment vertical="center" wrapText="1"/>
      <protection/>
    </xf>
    <xf numFmtId="0" fontId="38" fillId="0" borderId="48" xfId="0" applyFont="1" applyBorder="1" applyAlignment="1" applyProtection="1">
      <alignment vertical="center" wrapText="1"/>
      <protection/>
    </xf>
    <xf numFmtId="0" fontId="38" fillId="0" borderId="49" xfId="0" applyFont="1" applyBorder="1" applyAlignment="1" applyProtection="1">
      <alignment vertical="center" wrapText="1"/>
      <protection/>
    </xf>
    <xf numFmtId="0" fontId="38" fillId="2" borderId="170" xfId="0" applyFont="1" applyFill="1" applyBorder="1" applyAlignment="1" applyProtection="1">
      <alignment horizontal="left"/>
      <protection locked="0"/>
    </xf>
    <xf numFmtId="0" fontId="38" fillId="2" borderId="0" xfId="0" applyFont="1" applyFill="1" applyBorder="1" applyAlignment="1" applyProtection="1">
      <alignment horizontal="left"/>
      <protection locked="0"/>
    </xf>
    <xf numFmtId="9" fontId="38" fillId="12" borderId="31" xfId="111" applyFont="1" applyFill="1" applyBorder="1" applyAlignment="1" applyProtection="1">
      <alignment horizontal="left" vertical="center" wrapText="1"/>
      <protection locked="0"/>
    </xf>
    <xf numFmtId="9" fontId="38" fillId="12" borderId="48" xfId="111" applyFont="1" applyFill="1" applyBorder="1" applyAlignment="1" applyProtection="1">
      <alignment horizontal="left" vertical="center" wrapText="1"/>
      <protection locked="0"/>
    </xf>
    <xf numFmtId="9" fontId="38" fillId="12" borderId="49" xfId="111" applyFont="1" applyFill="1" applyBorder="1" applyAlignment="1" applyProtection="1">
      <alignment horizontal="left" vertical="center" wrapText="1"/>
      <protection locked="0"/>
    </xf>
    <xf numFmtId="0" fontId="38" fillId="2" borderId="0" xfId="0" applyFont="1" applyFill="1" applyBorder="1" applyAlignment="1" applyProtection="1">
      <alignment horizontal="left"/>
      <protection/>
    </xf>
    <xf numFmtId="0" fontId="38" fillId="2" borderId="0" xfId="0" applyFont="1" applyFill="1" applyAlignment="1" applyProtection="1">
      <alignment horizontal="left"/>
      <protection locked="0"/>
    </xf>
    <xf numFmtId="0" fontId="38" fillId="2" borderId="46" xfId="0" applyFont="1" applyFill="1" applyBorder="1" applyAlignment="1" applyProtection="1">
      <alignment horizontal="left"/>
      <protection locked="0"/>
    </xf>
    <xf numFmtId="0" fontId="38" fillId="2" borderId="123" xfId="0" applyFont="1" applyFill="1" applyBorder="1" applyAlignment="1" applyProtection="1">
      <alignment horizontal="left"/>
      <protection/>
    </xf>
    <xf numFmtId="0" fontId="38" fillId="2" borderId="123" xfId="0" applyFont="1" applyFill="1" applyBorder="1" applyAlignment="1" applyProtection="1">
      <alignment horizontal="left" vertical="center" wrapText="1"/>
      <protection/>
    </xf>
    <xf numFmtId="0" fontId="38" fillId="12" borderId="31" xfId="0" applyFont="1" applyFill="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38" fillId="12" borderId="48" xfId="0" applyFont="1" applyFill="1" applyBorder="1" applyAlignment="1" applyProtection="1">
      <alignment horizontal="left" vertical="top" wrapText="1"/>
      <protection locked="0"/>
    </xf>
    <xf numFmtId="0" fontId="38" fillId="12" borderId="49" xfId="0" applyFont="1" applyFill="1" applyBorder="1" applyAlignment="1" applyProtection="1">
      <alignment horizontal="left" vertical="top" wrapText="1"/>
      <protection locked="0"/>
    </xf>
    <xf numFmtId="0" fontId="2" fillId="12" borderId="171" xfId="0" applyFont="1" applyFill="1" applyBorder="1" applyAlignment="1" applyProtection="1">
      <alignment horizontal="center" vertical="top" wrapText="1"/>
      <protection locked="0"/>
    </xf>
    <xf numFmtId="0" fontId="2" fillId="12" borderId="172" xfId="0" applyFont="1" applyFill="1" applyBorder="1" applyAlignment="1" applyProtection="1">
      <alignment horizontal="center" vertical="top" wrapText="1"/>
      <protection locked="0"/>
    </xf>
    <xf numFmtId="0" fontId="2" fillId="12" borderId="173" xfId="0" applyFont="1" applyFill="1" applyBorder="1" applyAlignment="1" applyProtection="1">
      <alignment horizontal="center" vertical="top" wrapText="1"/>
      <protection locked="0"/>
    </xf>
    <xf numFmtId="0" fontId="2" fillId="12" borderId="174" xfId="0" applyFont="1" applyFill="1" applyBorder="1" applyAlignment="1" applyProtection="1">
      <alignment horizontal="center" vertical="top" wrapText="1"/>
      <protection locked="0"/>
    </xf>
    <xf numFmtId="0" fontId="2" fillId="12" borderId="175" xfId="0" applyFont="1" applyFill="1" applyBorder="1" applyAlignment="1" applyProtection="1">
      <alignment horizontal="center" vertical="top" wrapText="1"/>
      <protection locked="0"/>
    </xf>
    <xf numFmtId="0" fontId="2" fillId="12" borderId="176" xfId="0" applyFont="1" applyFill="1" applyBorder="1" applyAlignment="1" applyProtection="1">
      <alignment horizontal="center" vertical="top" wrapText="1"/>
      <protection locked="0"/>
    </xf>
    <xf numFmtId="0" fontId="80" fillId="10" borderId="14" xfId="0" applyFont="1" applyFill="1" applyBorder="1" applyAlignment="1" applyProtection="1">
      <alignment horizontal="center" vertical="center"/>
      <protection/>
    </xf>
    <xf numFmtId="0" fontId="63" fillId="3" borderId="177" xfId="0" applyFont="1" applyFill="1" applyBorder="1" applyAlignment="1" applyProtection="1">
      <alignment horizontal="center" vertical="center"/>
      <protection/>
    </xf>
    <xf numFmtId="0" fontId="63" fillId="3" borderId="178" xfId="0" applyFont="1" applyFill="1" applyBorder="1" applyAlignment="1" applyProtection="1">
      <alignment horizontal="center" vertical="center"/>
      <protection/>
    </xf>
    <xf numFmtId="0" fontId="63" fillId="3" borderId="179" xfId="0" applyFont="1" applyFill="1" applyBorder="1" applyAlignment="1" applyProtection="1">
      <alignment horizontal="center" vertical="center"/>
      <protection/>
    </xf>
    <xf numFmtId="0" fontId="2" fillId="13" borderId="180" xfId="0" applyFont="1" applyFill="1" applyBorder="1" applyAlignment="1" applyProtection="1">
      <alignment horizontal="center" vertical="top" wrapText="1"/>
      <protection locked="0"/>
    </xf>
    <xf numFmtId="0" fontId="2" fillId="13" borderId="181" xfId="0" applyFont="1" applyFill="1" applyBorder="1" applyAlignment="1" applyProtection="1">
      <alignment horizontal="center" vertical="top" wrapText="1"/>
      <protection locked="0"/>
    </xf>
    <xf numFmtId="0" fontId="2" fillId="13" borderId="182" xfId="0" applyFont="1" applyFill="1" applyBorder="1" applyAlignment="1" applyProtection="1">
      <alignment horizontal="center" vertical="top" wrapText="1"/>
      <protection locked="0"/>
    </xf>
    <xf numFmtId="0" fontId="2" fillId="13" borderId="183" xfId="0" applyFont="1" applyFill="1" applyBorder="1" applyAlignment="1" applyProtection="1">
      <alignment horizontal="center" vertical="top" wrapText="1"/>
      <protection locked="0"/>
    </xf>
    <xf numFmtId="0" fontId="2" fillId="13" borderId="184" xfId="0" applyFont="1" applyFill="1" applyBorder="1" applyAlignment="1" applyProtection="1">
      <alignment horizontal="center" vertical="top" wrapText="1"/>
      <protection locked="0"/>
    </xf>
    <xf numFmtId="0" fontId="2" fillId="13" borderId="185" xfId="0" applyFont="1" applyFill="1" applyBorder="1" applyAlignment="1" applyProtection="1">
      <alignment horizontal="center" vertical="top" wrapText="1"/>
      <protection locked="0"/>
    </xf>
    <xf numFmtId="0" fontId="2" fillId="13" borderId="186" xfId="0" applyFont="1" applyFill="1" applyBorder="1" applyAlignment="1" applyProtection="1">
      <alignment horizontal="center" vertical="top" wrapText="1"/>
      <protection locked="0"/>
    </xf>
    <xf numFmtId="0" fontId="2" fillId="13" borderId="187" xfId="0" applyFont="1" applyFill="1" applyBorder="1" applyAlignment="1" applyProtection="1">
      <alignment horizontal="center" vertical="top" wrapText="1"/>
      <protection locked="0"/>
    </xf>
    <xf numFmtId="0" fontId="2" fillId="13" borderId="188" xfId="0" applyFont="1" applyFill="1" applyBorder="1" applyAlignment="1" applyProtection="1">
      <alignment horizontal="center" vertical="top" wrapText="1"/>
      <protection locked="0"/>
    </xf>
    <xf numFmtId="0" fontId="79" fillId="0" borderId="189" xfId="0" applyFont="1" applyFill="1" applyBorder="1" applyAlignment="1" applyProtection="1">
      <alignment horizontal="center"/>
      <protection/>
    </xf>
    <xf numFmtId="0" fontId="79" fillId="0" borderId="190" xfId="0" applyFont="1" applyFill="1" applyBorder="1" applyAlignment="1" applyProtection="1">
      <alignment horizontal="center"/>
      <protection/>
    </xf>
    <xf numFmtId="49" fontId="2" fillId="3" borderId="191" xfId="0" applyNumberFormat="1" applyFont="1" applyFill="1" applyBorder="1" applyAlignment="1" applyProtection="1">
      <alignment horizontal="center" vertical="center"/>
      <protection locked="0"/>
    </xf>
    <xf numFmtId="49" fontId="2" fillId="3" borderId="192" xfId="0" applyNumberFormat="1" applyFont="1" applyFill="1" applyBorder="1" applyAlignment="1" applyProtection="1">
      <alignment horizontal="center" vertical="center"/>
      <protection locked="0"/>
    </xf>
    <xf numFmtId="49" fontId="2" fillId="3" borderId="193" xfId="0" applyNumberFormat="1" applyFont="1" applyFill="1" applyBorder="1" applyAlignment="1" applyProtection="1">
      <alignment horizontal="center" vertical="center"/>
      <protection locked="0"/>
    </xf>
    <xf numFmtId="49" fontId="2" fillId="3" borderId="194" xfId="0" applyNumberFormat="1" applyFont="1" applyFill="1" applyBorder="1" applyAlignment="1" applyProtection="1">
      <alignment horizontal="center" vertical="center"/>
      <protection locked="0"/>
    </xf>
    <xf numFmtId="49" fontId="2" fillId="3" borderId="16" xfId="0" applyNumberFormat="1" applyFont="1" applyFill="1" applyBorder="1" applyAlignment="1" applyProtection="1">
      <alignment horizontal="center" vertical="center"/>
      <protection locked="0"/>
    </xf>
    <xf numFmtId="49" fontId="2" fillId="3" borderId="195" xfId="0" applyNumberFormat="1" applyFont="1" applyFill="1" applyBorder="1" applyAlignment="1" applyProtection="1">
      <alignment horizontal="center" vertical="center"/>
      <protection locked="0"/>
    </xf>
    <xf numFmtId="0" fontId="79" fillId="0" borderId="0" xfId="0" applyFont="1" applyFill="1" applyBorder="1" applyAlignment="1" applyProtection="1">
      <alignment horizontal="center"/>
      <protection/>
    </xf>
    <xf numFmtId="0" fontId="103" fillId="0" borderId="0" xfId="0" applyFont="1" applyBorder="1" applyAlignment="1" applyProtection="1">
      <alignment horizontal="center"/>
      <protection/>
    </xf>
    <xf numFmtId="0" fontId="81" fillId="0" borderId="196" xfId="0" applyNumberFormat="1" applyFont="1" applyFill="1" applyBorder="1" applyAlignment="1" applyProtection="1">
      <alignment horizontal="left" vertical="top" wrapText="1"/>
      <protection/>
    </xf>
    <xf numFmtId="0" fontId="81" fillId="0" borderId="197" xfId="0" applyNumberFormat="1" applyFont="1" applyFill="1" applyBorder="1" applyAlignment="1" applyProtection="1">
      <alignment horizontal="left" vertical="top" wrapText="1"/>
      <protection/>
    </xf>
    <xf numFmtId="0" fontId="81" fillId="0" borderId="198" xfId="0" applyNumberFormat="1" applyFont="1" applyFill="1" applyBorder="1" applyAlignment="1" applyProtection="1">
      <alignment horizontal="left" vertical="top" wrapText="1"/>
      <protection/>
    </xf>
    <xf numFmtId="0" fontId="81" fillId="0" borderId="199" xfId="0" applyNumberFormat="1" applyFont="1" applyFill="1" applyBorder="1" applyAlignment="1" applyProtection="1">
      <alignment horizontal="left" vertical="top" wrapText="1"/>
      <protection/>
    </xf>
    <xf numFmtId="49" fontId="2" fillId="3" borderId="200" xfId="0" applyNumberFormat="1" applyFont="1" applyFill="1" applyBorder="1" applyAlignment="1" applyProtection="1">
      <alignment horizontal="center" vertical="center"/>
      <protection locked="0"/>
    </xf>
    <xf numFmtId="49" fontId="2" fillId="3" borderId="201" xfId="0" applyNumberFormat="1" applyFont="1" applyFill="1" applyBorder="1" applyAlignment="1" applyProtection="1">
      <alignment horizontal="center" vertical="center"/>
      <protection locked="0"/>
    </xf>
    <xf numFmtId="49" fontId="2" fillId="3" borderId="202" xfId="0" applyNumberFormat="1" applyFont="1" applyFill="1" applyBorder="1" applyAlignment="1" applyProtection="1">
      <alignment horizontal="center" vertical="center"/>
      <protection locked="0"/>
    </xf>
    <xf numFmtId="9" fontId="2" fillId="0" borderId="203" xfId="110" applyNumberFormat="1" applyFont="1" applyFill="1" applyBorder="1" applyAlignment="1" applyProtection="1">
      <alignment horizontal="left" vertical="center" wrapText="1"/>
      <protection/>
    </xf>
    <xf numFmtId="0" fontId="2" fillId="0" borderId="192" xfId="110" applyNumberFormat="1" applyFont="1" applyFill="1" applyBorder="1" applyAlignment="1" applyProtection="1">
      <alignment horizontal="left" vertical="center" wrapText="1"/>
      <protection/>
    </xf>
    <xf numFmtId="0" fontId="2" fillId="0" borderId="204" xfId="110" applyNumberFormat="1" applyFont="1" applyFill="1" applyBorder="1" applyAlignment="1" applyProtection="1">
      <alignment horizontal="left" vertical="center" wrapText="1"/>
      <protection/>
    </xf>
    <xf numFmtId="0" fontId="2" fillId="12" borderId="205" xfId="0" applyFont="1" applyFill="1" applyBorder="1" applyAlignment="1" applyProtection="1">
      <alignment horizontal="center" vertical="top" wrapText="1"/>
      <protection locked="0"/>
    </xf>
    <xf numFmtId="0" fontId="2" fillId="12" borderId="206" xfId="0" applyFont="1" applyFill="1" applyBorder="1" applyAlignment="1" applyProtection="1">
      <alignment horizontal="center" vertical="top" wrapText="1"/>
      <protection locked="0"/>
    </xf>
    <xf numFmtId="0" fontId="2" fillId="12" borderId="207" xfId="0" applyFont="1" applyFill="1" applyBorder="1" applyAlignment="1" applyProtection="1">
      <alignment horizontal="center" vertical="top" wrapText="1"/>
      <protection locked="0"/>
    </xf>
    <xf numFmtId="0" fontId="81" fillId="0" borderId="208" xfId="0" applyNumberFormat="1" applyFont="1" applyFill="1" applyBorder="1" applyAlignment="1" applyProtection="1">
      <alignment horizontal="left" vertical="top" wrapText="1"/>
      <protection/>
    </xf>
    <xf numFmtId="0" fontId="113" fillId="13" borderId="209" xfId="0" applyFont="1" applyFill="1" applyBorder="1" applyAlignment="1" applyProtection="1">
      <alignment horizontal="center" vertical="center"/>
      <protection/>
    </xf>
    <xf numFmtId="0" fontId="113" fillId="13" borderId="210" xfId="0" applyFont="1" applyFill="1" applyBorder="1" applyAlignment="1" applyProtection="1">
      <alignment horizontal="center" vertical="center"/>
      <protection/>
    </xf>
    <xf numFmtId="0" fontId="0" fillId="0" borderId="210" xfId="0" applyBorder="1" applyAlignment="1">
      <alignment horizontal="center" vertical="center"/>
    </xf>
    <xf numFmtId="0" fontId="113" fillId="13" borderId="211" xfId="0" applyFont="1" applyFill="1" applyBorder="1" applyAlignment="1" applyProtection="1">
      <alignment horizontal="center" vertical="center"/>
      <protection/>
    </xf>
    <xf numFmtId="0" fontId="113" fillId="13" borderId="212" xfId="0" applyFont="1" applyFill="1" applyBorder="1" applyAlignment="1" applyProtection="1">
      <alignment horizontal="center" vertical="center"/>
      <protection/>
    </xf>
    <xf numFmtId="0" fontId="113" fillId="13" borderId="213" xfId="0" applyFont="1" applyFill="1" applyBorder="1" applyAlignment="1" applyProtection="1">
      <alignment horizontal="center" vertical="center"/>
      <protection/>
    </xf>
    <xf numFmtId="0" fontId="81" fillId="0" borderId="214" xfId="0" applyNumberFormat="1" applyFont="1" applyFill="1" applyBorder="1" applyAlignment="1" applyProtection="1">
      <alignment horizontal="left" vertical="top" wrapText="1"/>
      <protection/>
    </xf>
    <xf numFmtId="0" fontId="81" fillId="0" borderId="215" xfId="0" applyNumberFormat="1" applyFont="1" applyFill="1" applyBorder="1" applyAlignment="1" applyProtection="1">
      <alignment horizontal="left" vertical="top" wrapText="1"/>
      <protection/>
    </xf>
    <xf numFmtId="0" fontId="2" fillId="0" borderId="203" xfId="110" applyNumberFormat="1" applyFont="1" applyFill="1" applyBorder="1" applyAlignment="1" applyProtection="1">
      <alignment horizontal="left" vertical="center" wrapText="1"/>
      <protection/>
    </xf>
    <xf numFmtId="0" fontId="81" fillId="0" borderId="216" xfId="0" applyNumberFormat="1" applyFont="1" applyFill="1" applyBorder="1" applyAlignment="1" applyProtection="1">
      <alignment horizontal="left" vertical="top" wrapText="1"/>
      <protection/>
    </xf>
    <xf numFmtId="0" fontId="81" fillId="0" borderId="217" xfId="0" applyNumberFormat="1" applyFont="1" applyFill="1" applyBorder="1" applyAlignment="1" applyProtection="1">
      <alignment horizontal="left" vertical="top" wrapText="1"/>
      <protection/>
    </xf>
    <xf numFmtId="0" fontId="63" fillId="12" borderId="218" xfId="0" applyFont="1" applyFill="1" applyBorder="1" applyAlignment="1" applyProtection="1">
      <alignment horizontal="center" vertical="center"/>
      <protection/>
    </xf>
    <xf numFmtId="0" fontId="63" fillId="12" borderId="219" xfId="0" applyFont="1" applyFill="1" applyBorder="1" applyAlignment="1" applyProtection="1">
      <alignment horizontal="center" vertical="center"/>
      <protection/>
    </xf>
    <xf numFmtId="0" fontId="63" fillId="12" borderId="220" xfId="0" applyFont="1" applyFill="1" applyBorder="1" applyAlignment="1" applyProtection="1">
      <alignment horizontal="center" vertical="center"/>
      <protection/>
    </xf>
    <xf numFmtId="0" fontId="81" fillId="0" borderId="221" xfId="0" applyNumberFormat="1" applyFont="1" applyFill="1" applyBorder="1" applyAlignment="1" applyProtection="1">
      <alignment horizontal="left" vertical="center" wrapText="1"/>
      <protection/>
    </xf>
    <xf numFmtId="0" fontId="81" fillId="0" borderId="222" xfId="0" applyNumberFormat="1" applyFont="1" applyFill="1" applyBorder="1" applyAlignment="1" applyProtection="1">
      <alignment horizontal="left" vertical="center" wrapText="1"/>
      <protection/>
    </xf>
    <xf numFmtId="0" fontId="81" fillId="0" borderId="223" xfId="0" applyNumberFormat="1" applyFont="1" applyFill="1" applyBorder="1" applyAlignment="1" applyProtection="1">
      <alignment horizontal="left" vertical="center" wrapText="1"/>
      <protection/>
    </xf>
    <xf numFmtId="0" fontId="0" fillId="12" borderId="124" xfId="0" applyFill="1" applyBorder="1" applyAlignment="1" applyProtection="1">
      <alignment horizontal="center"/>
      <protection locked="0"/>
    </xf>
    <xf numFmtId="0" fontId="0" fillId="12" borderId="123" xfId="0" applyFill="1" applyBorder="1" applyAlignment="1" applyProtection="1">
      <alignment horizontal="center"/>
      <protection locked="0"/>
    </xf>
    <xf numFmtId="0" fontId="0" fillId="12" borderId="125" xfId="0" applyFill="1" applyBorder="1" applyAlignment="1" applyProtection="1">
      <alignment horizontal="center"/>
      <protection locked="0"/>
    </xf>
    <xf numFmtId="0" fontId="0" fillId="12" borderId="70" xfId="0" applyFill="1" applyBorder="1" applyAlignment="1" applyProtection="1">
      <alignment horizontal="center"/>
      <protection locked="0"/>
    </xf>
    <xf numFmtId="0" fontId="0" fillId="12" borderId="113" xfId="0" applyFill="1" applyBorder="1" applyAlignment="1" applyProtection="1">
      <alignment horizontal="center"/>
      <protection locked="0"/>
    </xf>
    <xf numFmtId="0" fontId="0" fillId="12" borderId="115" xfId="0" applyFill="1" applyBorder="1" applyAlignment="1" applyProtection="1">
      <alignment horizontal="center"/>
      <protection locked="0"/>
    </xf>
    <xf numFmtId="0" fontId="78" fillId="8" borderId="15" xfId="106" applyNumberFormat="1" applyFont="1" applyFill="1" applyBorder="1" applyAlignment="1">
      <alignment horizontal="center" vertical="center" wrapText="1"/>
      <protection/>
    </xf>
    <xf numFmtId="0" fontId="78" fillId="8" borderId="224" xfId="106" applyNumberFormat="1" applyFont="1" applyFill="1" applyBorder="1" applyAlignment="1">
      <alignment horizontal="center" vertical="center" wrapText="1"/>
      <protection/>
    </xf>
    <xf numFmtId="0" fontId="24" fillId="0" borderId="192" xfId="0" applyFont="1" applyFill="1" applyBorder="1" applyAlignment="1" applyProtection="1">
      <alignment horizontal="left" vertical="center" wrapText="1"/>
      <protection locked="0"/>
    </xf>
    <xf numFmtId="0" fontId="24" fillId="0" borderId="225" xfId="0" applyFont="1" applyFill="1" applyBorder="1" applyAlignment="1" applyProtection="1">
      <alignment horizontal="left" vertical="center" wrapText="1"/>
      <protection locked="0"/>
    </xf>
    <xf numFmtId="0" fontId="24" fillId="0" borderId="226" xfId="0" applyFont="1" applyFill="1" applyBorder="1" applyAlignment="1" applyProtection="1">
      <alignment horizontal="left" vertical="center" wrapText="1"/>
      <protection locked="0"/>
    </xf>
    <xf numFmtId="0" fontId="24" fillId="0" borderId="227" xfId="0" applyFont="1" applyFill="1" applyBorder="1" applyAlignment="1" applyProtection="1">
      <alignment horizontal="left" vertical="center" wrapText="1"/>
      <protection locked="0"/>
    </xf>
    <xf numFmtId="0" fontId="24" fillId="0" borderId="228" xfId="0" applyFont="1" applyBorder="1" applyAlignment="1" applyProtection="1">
      <alignment horizontal="left"/>
      <protection locked="0"/>
    </xf>
    <xf numFmtId="0" fontId="24" fillId="0" borderId="41" xfId="0" applyFont="1" applyBorder="1" applyAlignment="1" applyProtection="1">
      <alignment horizontal="left"/>
      <protection locked="0"/>
    </xf>
    <xf numFmtId="0" fontId="24" fillId="0" borderId="229" xfId="0" applyFont="1" applyBorder="1" applyAlignment="1" applyProtection="1">
      <alignment horizontal="left"/>
      <protection locked="0"/>
    </xf>
    <xf numFmtId="0" fontId="24" fillId="0" borderId="230" xfId="0" applyFont="1" applyBorder="1" applyAlignment="1" applyProtection="1">
      <alignment horizontal="left"/>
      <protection locked="0"/>
    </xf>
    <xf numFmtId="0" fontId="24" fillId="0" borderId="230" xfId="0" applyFont="1" applyFill="1" applyBorder="1" applyAlignment="1" applyProtection="1">
      <alignment horizontal="left"/>
      <protection locked="0"/>
    </xf>
    <xf numFmtId="0" fontId="24" fillId="0" borderId="231" xfId="0" applyFont="1" applyFill="1" applyBorder="1" applyAlignment="1" applyProtection="1">
      <alignment horizontal="left"/>
      <protection locked="0"/>
    </xf>
    <xf numFmtId="0" fontId="24" fillId="0" borderId="232" xfId="0" applyFont="1" applyFill="1" applyBorder="1" applyAlignment="1" applyProtection="1">
      <alignment horizontal="left" vertical="top" wrapText="1"/>
      <protection locked="0"/>
    </xf>
    <xf numFmtId="0" fontId="24" fillId="0" borderId="233" xfId="0" applyFont="1" applyFill="1" applyBorder="1" applyAlignment="1" applyProtection="1">
      <alignment horizontal="left" vertical="top" wrapText="1"/>
      <protection locked="0"/>
    </xf>
    <xf numFmtId="0" fontId="24" fillId="0" borderId="234" xfId="0" applyFont="1" applyFill="1" applyBorder="1" applyAlignment="1" applyProtection="1">
      <alignment horizontal="left" vertical="top" wrapText="1"/>
      <protection locked="0"/>
    </xf>
    <xf numFmtId="0" fontId="24" fillId="0" borderId="235" xfId="0" applyFont="1" applyFill="1" applyBorder="1" applyAlignment="1" applyProtection="1">
      <alignment horizontal="left" vertical="top" wrapText="1"/>
      <protection locked="0"/>
    </xf>
    <xf numFmtId="0" fontId="24" fillId="0" borderId="201" xfId="0" applyFont="1" applyFill="1" applyBorder="1" applyAlignment="1" applyProtection="1">
      <alignment horizontal="left" vertical="top" wrapText="1"/>
      <protection locked="0"/>
    </xf>
    <xf numFmtId="0" fontId="24" fillId="0" borderId="236" xfId="0" applyFont="1" applyFill="1" applyBorder="1" applyAlignment="1" applyProtection="1">
      <alignment horizontal="left" vertical="top" wrapText="1"/>
      <protection locked="0"/>
    </xf>
    <xf numFmtId="0" fontId="78" fillId="8" borderId="237" xfId="106" applyNumberFormat="1" applyFont="1" applyFill="1" applyBorder="1" applyAlignment="1">
      <alignment horizontal="center" vertical="center" wrapText="1"/>
      <protection/>
    </xf>
    <xf numFmtId="0" fontId="96" fillId="8" borderId="238" xfId="0" applyFont="1" applyFill="1" applyBorder="1" applyAlignment="1">
      <alignment horizontal="center" vertical="center" textRotation="90"/>
    </xf>
    <xf numFmtId="0" fontId="0" fillId="8" borderId="99" xfId="0" applyFill="1" applyBorder="1" applyAlignment="1">
      <alignment horizontal="center" vertical="center" textRotation="90"/>
    </xf>
    <xf numFmtId="0" fontId="0" fillId="8" borderId="116" xfId="0" applyFill="1" applyBorder="1" applyAlignment="1">
      <alignment horizontal="center" vertical="center" textRotation="90"/>
    </xf>
    <xf numFmtId="0" fontId="24" fillId="0" borderId="229" xfId="0" applyFont="1" applyFill="1" applyBorder="1" applyAlignment="1" applyProtection="1">
      <alignment horizontal="left"/>
      <protection locked="0"/>
    </xf>
    <xf numFmtId="0" fontId="37" fillId="0" borderId="0" xfId="0" applyFont="1" applyAlignment="1">
      <alignment horizontal="center"/>
    </xf>
    <xf numFmtId="0" fontId="78" fillId="8" borderId="239" xfId="106" applyNumberFormat="1" applyFont="1" applyFill="1" applyBorder="1" applyAlignment="1">
      <alignment horizontal="center" vertical="center" wrapText="1"/>
      <protection/>
    </xf>
    <xf numFmtId="0" fontId="78" fillId="8" borderId="240" xfId="106" applyNumberFormat="1" applyFont="1" applyFill="1" applyBorder="1" applyAlignment="1">
      <alignment horizontal="center" vertical="center" wrapText="1"/>
      <protection/>
    </xf>
    <xf numFmtId="0" fontId="78" fillId="8" borderId="241" xfId="106" applyNumberFormat="1" applyFont="1" applyFill="1" applyBorder="1" applyAlignment="1">
      <alignment horizontal="center" vertical="center" wrapText="1"/>
      <protection/>
    </xf>
    <xf numFmtId="0" fontId="24" fillId="0" borderId="242" xfId="0" applyFont="1" applyFill="1" applyBorder="1" applyAlignment="1" applyProtection="1">
      <alignment horizontal="left"/>
      <protection locked="0"/>
    </xf>
    <xf numFmtId="0" fontId="24" fillId="0" borderId="243" xfId="0" applyFont="1" applyFill="1" applyBorder="1" applyAlignment="1" applyProtection="1">
      <alignment horizontal="left"/>
      <protection locked="0"/>
    </xf>
    <xf numFmtId="0" fontId="24" fillId="0" borderId="244" xfId="0" applyFont="1" applyFill="1" applyBorder="1" applyAlignment="1" applyProtection="1">
      <alignment horizontal="left" vertical="top" wrapText="1"/>
      <protection locked="0"/>
    </xf>
    <xf numFmtId="0" fontId="24" fillId="0" borderId="245" xfId="0" applyFont="1" applyFill="1" applyBorder="1" applyAlignment="1" applyProtection="1">
      <alignment horizontal="left" vertical="top" wrapText="1"/>
      <protection locked="0"/>
    </xf>
    <xf numFmtId="0" fontId="24" fillId="0" borderId="246" xfId="0" applyFont="1" applyFill="1" applyBorder="1" applyAlignment="1" applyProtection="1">
      <alignment horizontal="left" vertical="top" wrapText="1"/>
      <protection locked="0"/>
    </xf>
    <xf numFmtId="0" fontId="24" fillId="0" borderId="247" xfId="0" applyFont="1" applyFill="1" applyBorder="1" applyAlignment="1" applyProtection="1">
      <alignment horizontal="left" vertical="top" wrapText="1"/>
      <protection locked="0"/>
    </xf>
    <xf numFmtId="0" fontId="24" fillId="0" borderId="248" xfId="0" applyFont="1" applyFill="1" applyBorder="1" applyAlignment="1" applyProtection="1">
      <alignment horizontal="left"/>
      <protection locked="0"/>
    </xf>
    <xf numFmtId="0" fontId="24" fillId="0" borderId="192" xfId="0" applyFont="1" applyFill="1" applyBorder="1" applyAlignment="1" applyProtection="1">
      <alignment horizontal="left"/>
      <protection locked="0"/>
    </xf>
    <xf numFmtId="0" fontId="24" fillId="0" borderId="225" xfId="0" applyFont="1" applyFill="1" applyBorder="1" applyAlignment="1" applyProtection="1">
      <alignment horizontal="left"/>
      <protection locked="0"/>
    </xf>
    <xf numFmtId="0" fontId="24" fillId="0" borderId="249" xfId="0" applyFont="1" applyFill="1" applyBorder="1" applyAlignment="1" applyProtection="1">
      <alignment horizontal="left"/>
      <protection locked="0"/>
    </xf>
    <xf numFmtId="0" fontId="24" fillId="0" borderId="226" xfId="0" applyFont="1" applyFill="1" applyBorder="1" applyAlignment="1" applyProtection="1">
      <alignment horizontal="left"/>
      <protection locked="0"/>
    </xf>
    <xf numFmtId="0" fontId="24" fillId="0" borderId="227" xfId="0" applyFont="1" applyFill="1" applyBorder="1" applyAlignment="1" applyProtection="1">
      <alignment horizontal="left"/>
      <protection locked="0"/>
    </xf>
    <xf numFmtId="0" fontId="24" fillId="0" borderId="242" xfId="0" applyFont="1" applyBorder="1" applyAlignment="1" applyProtection="1">
      <alignment horizontal="left"/>
      <protection locked="0"/>
    </xf>
    <xf numFmtId="0" fontId="24" fillId="0" borderId="243" xfId="0" applyFont="1" applyBorder="1" applyAlignment="1" applyProtection="1">
      <alignment horizontal="left"/>
      <protection locked="0"/>
    </xf>
    <xf numFmtId="0" fontId="24" fillId="0" borderId="41" xfId="0" applyFont="1" applyFill="1" applyBorder="1" applyAlignment="1" applyProtection="1">
      <alignment horizontal="left"/>
      <protection locked="0"/>
    </xf>
    <xf numFmtId="0" fontId="24" fillId="0" borderId="228" xfId="0" applyFont="1" applyFill="1" applyBorder="1" applyAlignment="1" applyProtection="1">
      <alignment horizontal="left"/>
      <protection locked="0"/>
    </xf>
    <xf numFmtId="43" fontId="18" fillId="34" borderId="0" xfId="130" applyFont="1" applyFill="1" applyBorder="1" applyAlignment="1" applyProtection="1">
      <alignment horizontal="center"/>
      <protection locked="0"/>
    </xf>
    <xf numFmtId="0" fontId="24" fillId="0" borderId="250" xfId="0" applyFont="1" applyFill="1" applyBorder="1" applyAlignment="1" applyProtection="1">
      <alignment horizontal="left"/>
      <protection locked="0"/>
    </xf>
    <xf numFmtId="0" fontId="24" fillId="0" borderId="251" xfId="0" applyFont="1" applyFill="1" applyBorder="1" applyAlignment="1" applyProtection="1">
      <alignment horizontal="left"/>
      <protection locked="0"/>
    </xf>
    <xf numFmtId="0" fontId="24" fillId="0" borderId="231" xfId="0" applyFont="1" applyBorder="1" applyAlignment="1" applyProtection="1">
      <alignment horizontal="left"/>
      <protection locked="0"/>
    </xf>
    <xf numFmtId="0" fontId="24" fillId="0" borderId="251" xfId="0" applyFont="1" applyBorder="1" applyAlignment="1" applyProtection="1">
      <alignment horizontal="left"/>
      <protection locked="0"/>
    </xf>
    <xf numFmtId="0" fontId="24" fillId="0" borderId="250" xfId="0" applyFont="1" applyBorder="1" applyAlignment="1" applyProtection="1">
      <alignment horizontal="left"/>
      <protection locked="0"/>
    </xf>
    <xf numFmtId="43" fontId="20" fillId="26" borderId="0" xfId="90" applyFont="1" applyFill="1" applyAlignment="1">
      <alignment horizontal="center" vertical="center"/>
      <protection/>
    </xf>
  </cellXfs>
  <cellStyles count="124">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Comma" xfId="64"/>
    <cellStyle name="Comma [0]" xfId="65"/>
    <cellStyle name="Currency" xfId="66"/>
    <cellStyle name="Currency [0]" xfId="67"/>
    <cellStyle name="Encabezado 4" xfId="68"/>
    <cellStyle name="Énfasis1" xfId="69"/>
    <cellStyle name="Énfasis2" xfId="70"/>
    <cellStyle name="Énfasis3" xfId="71"/>
    <cellStyle name="Énfasis4" xfId="72"/>
    <cellStyle name="Énfasis5" xfId="73"/>
    <cellStyle name="Énfasis6" xfId="74"/>
    <cellStyle name="Entrada" xfId="75"/>
    <cellStyle name="Euro" xfId="76"/>
    <cellStyle name="Explanatory Text" xfId="77"/>
    <cellStyle name="Followed Hyperlink" xfId="78"/>
    <cellStyle name="Good" xfId="79"/>
    <cellStyle name="Heading 1" xfId="80"/>
    <cellStyle name="Heading 2" xfId="81"/>
    <cellStyle name="Heading 3" xfId="82"/>
    <cellStyle name="Heading 4" xfId="83"/>
    <cellStyle name="Hyperlink" xfId="84"/>
    <cellStyle name="Incorrecto" xfId="85"/>
    <cellStyle name="Input" xfId="86"/>
    <cellStyle name="Linked Cell" xfId="87"/>
    <cellStyle name="Millares 2" xfId="88"/>
    <cellStyle name="Neutral" xfId="89"/>
    <cellStyle name="Normal 2" xfId="90"/>
    <cellStyle name="Normal 2 2" xfId="91"/>
    <cellStyle name="Normal 2 3" xfId="92"/>
    <cellStyle name="Normal 2 4" xfId="93"/>
    <cellStyle name="Normal 2 5" xfId="94"/>
    <cellStyle name="Normal 2 6" xfId="95"/>
    <cellStyle name="Normal 2 7" xfId="96"/>
    <cellStyle name="Normal 2 8" xfId="97"/>
    <cellStyle name="Normal 2_Dashboard ver 2.2 ES" xfId="98"/>
    <cellStyle name="Normal 2_Prototipo" xfId="99"/>
    <cellStyle name="Normal 3" xfId="100"/>
    <cellStyle name="Normal 4" xfId="101"/>
    <cellStyle name="Normal 5" xfId="102"/>
    <cellStyle name="Normal 6" xfId="103"/>
    <cellStyle name="Normal 7" xfId="104"/>
    <cellStyle name="Normal 8" xfId="105"/>
    <cellStyle name="Normal_TZ_R3HIV_Phase_2_21_August_08" xfId="106"/>
    <cellStyle name="Notas" xfId="107"/>
    <cellStyle name="Note" xfId="108"/>
    <cellStyle name="Output" xfId="109"/>
    <cellStyle name="Percent" xfId="110"/>
    <cellStyle name="Percent 2" xfId="111"/>
    <cellStyle name="Porcentual 2" xfId="112"/>
    <cellStyle name="Porcentual 3" xfId="113"/>
    <cellStyle name="Porcentual 4" xfId="114"/>
    <cellStyle name="Porcentual 5" xfId="115"/>
    <cellStyle name="Porcentual 6" xfId="116"/>
    <cellStyle name="Porcentual 7" xfId="117"/>
    <cellStyle name="Porcentual 8" xfId="118"/>
    <cellStyle name="Salida" xfId="119"/>
    <cellStyle name="Texto de advertencia" xfId="120"/>
    <cellStyle name="Texto explicativo" xfId="121"/>
    <cellStyle name="Title" xfId="122"/>
    <cellStyle name="Título" xfId="123"/>
    <cellStyle name="Título 1" xfId="124"/>
    <cellStyle name="Título 2" xfId="125"/>
    <cellStyle name="Título 3" xfId="126"/>
    <cellStyle name="Título 3 2" xfId="127"/>
    <cellStyle name="Título 3 3" xfId="128"/>
    <cellStyle name="Título 3 3_Prototipo" xfId="129"/>
    <cellStyle name="Título 3 3_PrototipoRep1" xfId="130"/>
    <cellStyle name="Título 3 4" xfId="131"/>
    <cellStyle name="Título 3 5" xfId="132"/>
    <cellStyle name="Título 3 6" xfId="133"/>
    <cellStyle name="Título 3 7" xfId="134"/>
    <cellStyle name="Título 3 8" xfId="135"/>
    <cellStyle name="Total" xfId="136"/>
    <cellStyle name="Warning Text" xfId="137"/>
  </cellStyles>
  <dxfs count="59">
    <dxf>
      <font>
        <color indexed="8"/>
      </font>
      <fill>
        <patternFill>
          <bgColor indexed="43"/>
        </patternFill>
      </fill>
    </dxf>
    <dxf>
      <font>
        <color auto="1"/>
      </font>
      <fill>
        <patternFill>
          <bgColor indexed="51"/>
        </patternFill>
      </fill>
    </dxf>
    <dxf>
      <font>
        <color indexed="9"/>
      </font>
      <fill>
        <patternFill>
          <bgColor indexed="10"/>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9"/>
      </font>
      <fill>
        <patternFill>
          <bgColor indexed="10"/>
        </patternFill>
      </fill>
    </dxf>
    <dxf>
      <fill>
        <patternFill>
          <bgColor indexed="13"/>
        </patternFill>
      </fill>
    </dxf>
    <dxf>
      <fill>
        <patternFill>
          <bgColor indexed="11"/>
        </patternFill>
      </fill>
    </dxf>
    <dxf>
      <font>
        <color indexed="8"/>
      </font>
      <fill>
        <patternFill>
          <bgColor indexed="43"/>
        </patternFill>
      </fill>
    </dxf>
    <dxf>
      <font>
        <color auto="1"/>
      </font>
      <fill>
        <patternFill>
          <bgColor indexed="51"/>
        </patternFill>
      </fill>
    </dxf>
    <dxf>
      <font>
        <color indexed="9"/>
      </font>
      <fill>
        <patternFill>
          <bgColor indexed="10"/>
        </patternFill>
      </fill>
    </dxf>
    <dxf>
      <fill>
        <patternFill patternType="solid">
          <bgColor indexed="9"/>
        </patternFill>
      </fill>
    </dxf>
    <dxf>
      <font>
        <color auto="1"/>
      </font>
      <fill>
        <patternFill>
          <bgColor indexed="50"/>
        </patternFill>
      </fill>
    </dxf>
    <dxf>
      <font>
        <color indexed="8"/>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lor indexed="9"/>
      </font>
      <fill>
        <patternFill>
          <bgColor indexed="8"/>
        </patternFill>
      </fill>
    </dxf>
    <dxf>
      <font>
        <color indexed="8"/>
      </font>
      <fill>
        <patternFill>
          <bgColor indexed="43"/>
        </patternFill>
      </fill>
    </dxf>
    <dxf>
      <font>
        <color auto="1"/>
      </font>
      <fill>
        <patternFill>
          <bgColor indexed="51"/>
        </patternFill>
      </fill>
    </dxf>
    <dxf>
      <font>
        <color indexed="9"/>
      </font>
      <fill>
        <patternFill>
          <bgColor indexed="14"/>
        </patternFill>
      </fill>
    </dxf>
    <dxf>
      <font>
        <color indexed="9"/>
      </font>
      <fill>
        <patternFill>
          <bgColor indexed="63"/>
        </patternFill>
      </fill>
    </dxf>
    <dxf>
      <fill>
        <patternFill>
          <bgColor indexed="42"/>
        </patternFill>
      </fill>
    </dxf>
    <dxf>
      <fill>
        <patternFill>
          <bgColor indexed="42"/>
        </patternFill>
      </fill>
    </dxf>
    <dxf>
      <font>
        <color rgb="FFFFFFFF"/>
      </font>
      <fill>
        <patternFill>
          <bgColor rgb="FF333333"/>
        </patternFill>
      </fill>
      <border/>
    </dxf>
    <dxf>
      <font>
        <color rgb="FFFFFFFF"/>
      </font>
      <fill>
        <patternFill>
          <bgColor rgb="FFFF5050"/>
        </patternFill>
      </fill>
      <border/>
    </dxf>
    <dxf>
      <font>
        <color auto="1"/>
      </font>
      <fill>
        <patternFill>
          <bgColor rgb="FFFFCC00"/>
        </patternFill>
      </fill>
      <border/>
    </dxf>
    <dxf>
      <font>
        <color rgb="FF000000"/>
      </font>
      <fill>
        <patternFill>
          <bgColor rgb="FFFFFF99"/>
        </patternFill>
      </fill>
      <border/>
    </dxf>
    <dxf>
      <font>
        <color rgb="FFFFFFFF"/>
      </font>
      <fill>
        <patternFill>
          <bgColor rgb="FF000000"/>
        </patternFill>
      </fill>
      <border/>
    </dxf>
    <dxf>
      <font>
        <color rgb="FFFFFFFF"/>
      </font>
      <fill>
        <patternFill>
          <bgColor rgb="FFFF7171"/>
        </patternFill>
      </fill>
      <border/>
    </dxf>
    <dxf>
      <font>
        <color rgb="FF000000"/>
      </font>
      <fill>
        <patternFill>
          <bgColor rgb="FFFF5050"/>
        </patternFill>
      </fill>
      <border/>
    </dxf>
    <dxf>
      <font>
        <color auto="1"/>
      </font>
      <fill>
        <patternFill>
          <bgColor rgb="FF99CC00"/>
        </patternFill>
      </fill>
      <border/>
    </dxf>
    <dxf>
      <font>
        <b/>
        <i val="0"/>
        <color auto="1"/>
      </font>
      <fill>
        <patternFill>
          <bgColor rgb="FFFF5050"/>
        </patternFill>
      </fill>
      <border/>
    </dxf>
    <dxf>
      <font>
        <b/>
        <i val="0"/>
        <color auto="1"/>
      </font>
      <fill>
        <patternFill>
          <bgColor rgb="FF00FF00"/>
        </patternFill>
      </fill>
      <border/>
    </dxf>
    <dxf>
      <font>
        <b/>
        <i val="0"/>
      </font>
      <fill>
        <patternFill>
          <bgColor rgb="FFFFFF00"/>
        </patternFill>
      </fill>
      <border/>
    </dxf>
    <dxf>
      <font>
        <b/>
        <i val="0"/>
        <color rgb="FFFFFFFF"/>
      </font>
      <fill>
        <patternFill>
          <bgColor rgb="FFFF5050"/>
        </patternFill>
      </fill>
      <border/>
    </dxf>
    <dxf>
      <font>
        <b/>
        <i val="0"/>
      </font>
      <fill>
        <patternFill>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xmlMaps" Target="xmlMap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
          <c:w val="0.961"/>
          <c:h val="0.7952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Entry'!$C$33:$N$33</c:f>
              <c:numCache>
                <c:ptCount val="12"/>
                <c:pt idx="0">
                  <c:v>6031966</c:v>
                </c:pt>
                <c:pt idx="1">
                  <c:v>7769728</c:v>
                </c:pt>
                <c:pt idx="2">
                  <c:v>0</c:v>
                </c:pt>
                <c:pt idx="3">
                  <c:v>0</c:v>
                </c:pt>
                <c:pt idx="4">
                  <c:v>0</c:v>
                </c:pt>
                <c:pt idx="5">
                  <c:v>0</c:v>
                </c:pt>
                <c:pt idx="6">
                  <c:v>0</c:v>
                </c:pt>
                <c:pt idx="7">
                  <c:v>0</c:v>
                </c:pt>
                <c:pt idx="8">
                  <c:v>0</c:v>
                </c:pt>
                <c:pt idx="9">
                  <c:v>0</c:v>
                </c:pt>
                <c:pt idx="10">
                  <c:v>0</c:v>
                </c:pt>
                <c:pt idx="11">
                  <c:v>0</c:v>
                </c:pt>
              </c:numCache>
            </c:numRef>
          </c:val>
        </c:ser>
        <c:ser>
          <c:idx val="1"/>
          <c:order val="1"/>
          <c:tx>
            <c:strRef>
              <c:f>'Data Entry'!$B$34</c:f>
              <c:strCache>
                <c:ptCount val="1"/>
                <c:pt idx="0">
                  <c:v>Cumulative disbursements</c:v>
                </c:pt>
              </c:strCache>
            </c:strRef>
          </c:tx>
          <c:spPr>
            <a:solidFill>
              <a:srgbClr val="0070C0"/>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Entry'!$C$34:$N$34</c:f>
              <c:numCache>
                <c:ptCount val="12"/>
                <c:pt idx="0">
                  <c:v>2868759</c:v>
                </c:pt>
                <c:pt idx="1">
                  <c:v>2868759</c:v>
                </c:pt>
                <c:pt idx="2">
                  <c:v>0</c:v>
                </c:pt>
                <c:pt idx="3">
                  <c:v>0</c:v>
                </c:pt>
                <c:pt idx="4">
                  <c:v>0</c:v>
                </c:pt>
                <c:pt idx="5">
                  <c:v>0</c:v>
                </c:pt>
                <c:pt idx="6">
                  <c:v>0</c:v>
                </c:pt>
                <c:pt idx="7">
                  <c:v>0</c:v>
                </c:pt>
                <c:pt idx="8">
                  <c:v>0</c:v>
                </c:pt>
                <c:pt idx="9">
                  <c:v>0</c:v>
                </c:pt>
                <c:pt idx="10">
                  <c:v>0</c:v>
                </c:pt>
                <c:pt idx="11">
                  <c:v>0</c:v>
                </c:pt>
              </c:numCache>
            </c:numRef>
          </c:val>
        </c:ser>
        <c:gapWidth val="70"/>
        <c:axId val="65417820"/>
        <c:axId val="51889469"/>
      </c:barChart>
      <c:catAx>
        <c:axId val="65417820"/>
        <c:scaling>
          <c:orientation val="minMax"/>
        </c:scaling>
        <c:axPos val="b"/>
        <c:title>
          <c:tx>
            <c:rich>
              <a:bodyPr vert="horz" rot="0" anchor="ctr"/>
              <a:lstStyle/>
              <a:p>
                <a:pPr algn="ctr">
                  <a:defRPr/>
                </a:pPr>
                <a:r>
                  <a:rPr lang="en-US" cap="none" sz="575" b="1" i="0" u="none" baseline="0">
                    <a:solidFill>
                      <a:srgbClr val="000000"/>
                    </a:solidFill>
                  </a:rPr>
                  <a:t>Reporting Period</a:t>
                </a:r>
              </a:p>
            </c:rich>
          </c:tx>
          <c:layout>
            <c:manualLayout>
              <c:xMode val="factor"/>
              <c:yMode val="factor"/>
              <c:x val="-0.01425"/>
              <c:y val="-0.00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defRPr>
            </a:pPr>
          </a:p>
        </c:txPr>
        <c:crossAx val="51889469"/>
        <c:crosses val="autoZero"/>
        <c:auto val="1"/>
        <c:lblOffset val="100"/>
        <c:tickLblSkip val="1"/>
        <c:noMultiLvlLbl val="0"/>
      </c:catAx>
      <c:valAx>
        <c:axId val="5188946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5417820"/>
        <c:crossesAt val="1"/>
        <c:crossBetween val="between"/>
        <c:dispUnits/>
      </c:valAx>
      <c:spPr>
        <a:solidFill>
          <a:srgbClr val="FFFFFF"/>
        </a:solidFill>
        <a:ln w="3175">
          <a:solidFill>
            <a:srgbClr val="000000"/>
          </a:solidFill>
        </a:ln>
      </c:spPr>
    </c:plotArea>
    <c:legend>
      <c:legendPos val="r"/>
      <c:legendEntry>
        <c:idx val="0"/>
        <c:txPr>
          <a:bodyPr vert="horz" rot="0"/>
          <a:lstStyle/>
          <a:p>
            <a:pPr>
              <a:defRPr lang="en-US" cap="none" sz="620" b="0" i="0" u="none" baseline="0">
                <a:solidFill>
                  <a:srgbClr val="000000"/>
                </a:solidFill>
              </a:defRPr>
            </a:pPr>
          </a:p>
        </c:txPr>
      </c:legendEntry>
      <c:legendEntry>
        <c:idx val="1"/>
        <c:txPr>
          <a:bodyPr vert="horz" rot="0"/>
          <a:lstStyle/>
          <a:p>
            <a:pPr>
              <a:defRPr lang="en-US" cap="none" sz="620" b="0" i="0" u="none" baseline="0">
                <a:solidFill>
                  <a:srgbClr val="000000"/>
                </a:solidFill>
              </a:defRPr>
            </a:pPr>
          </a:p>
        </c:txPr>
      </c:legendEntry>
      <c:layout>
        <c:manualLayout>
          <c:xMode val="edge"/>
          <c:yMode val="edge"/>
          <c:x val="0.12075"/>
          <c:y val="0.895"/>
          <c:w val="0.866"/>
          <c:h val="0.105"/>
        </c:manualLayout>
      </c:layout>
      <c:overlay val="0"/>
      <c:spPr>
        <a:solidFill>
          <a:srgbClr val="FFFFFF"/>
        </a:solidFill>
        <a:ln w="3175">
          <a:solidFill>
            <a:srgbClr val="000000"/>
          </a:solidFill>
        </a:ln>
      </c:spPr>
      <c:txPr>
        <a:bodyPr vert="horz" rot="0"/>
        <a:lstStyle/>
        <a:p>
          <a:pPr>
            <a:defRPr lang="en-US" cap="none" sz="440" b="0" i="0" u="none" baseline="0">
              <a:solidFill>
                <a:srgbClr val="000000"/>
              </a:solidFill>
            </a:defRPr>
          </a:pPr>
        </a:p>
      </c:txPr>
    </c:legend>
    <c:plotVisOnly val="1"/>
    <c:dispBlanksAs val="gap"/>
    <c:showDLblsOverMax val="0"/>
  </c:chart>
  <c:spPr>
    <a:noFill/>
    <a:ln>
      <a:noFill/>
    </a:ln>
  </c:spPr>
  <c:txPr>
    <a:bodyPr vert="horz" rot="0"/>
    <a:lstStyle/>
    <a:p>
      <a:pPr>
        <a:defRPr lang="en-US" cap="none" sz="5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2"/>
          <c:w val="0.94375"/>
          <c:h val="0.8675"/>
        </c:manualLayout>
      </c:layout>
      <c:barChart>
        <c:barDir val="col"/>
        <c:grouping val="clustered"/>
        <c:varyColors val="0"/>
        <c:ser>
          <c:idx val="0"/>
          <c:order val="0"/>
          <c:tx>
            <c:strRef>
              <c:f>'Data Entry'!$G$122</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Entry'!$H$122:$S$122</c:f>
              <c:numCache>
                <c:ptCount val="12"/>
                <c:pt idx="0">
                  <c:v>0.87</c:v>
                </c:pt>
                <c:pt idx="1">
                  <c:v>0.87</c:v>
                </c:pt>
              </c:numCache>
            </c:numRef>
          </c:val>
        </c:ser>
        <c:ser>
          <c:idx val="1"/>
          <c:order val="1"/>
          <c:tx>
            <c:strRef>
              <c:f>'Data Entry'!$G$123</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Entry'!$H$123:$S$123</c:f>
              <c:numCache>
                <c:ptCount val="12"/>
                <c:pt idx="0">
                  <c:v>0.84</c:v>
                </c:pt>
                <c:pt idx="1">
                  <c:v>0.8526803983085527</c:v>
                </c:pt>
              </c:numCache>
            </c:numRef>
          </c:val>
        </c:ser>
        <c:axId val="9951968"/>
        <c:axId val="22458849"/>
      </c:barChart>
      <c:catAx>
        <c:axId val="995196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22458849"/>
        <c:crosses val="autoZero"/>
        <c:auto val="1"/>
        <c:lblOffset val="100"/>
        <c:tickLblSkip val="1"/>
        <c:noMultiLvlLbl val="0"/>
      </c:catAx>
      <c:valAx>
        <c:axId val="22458849"/>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9951968"/>
        <c:crossesAt val="1"/>
        <c:crossBetween val="between"/>
        <c:dispUnits/>
      </c:valAx>
      <c:spPr>
        <a:noFill/>
        <a:ln>
          <a:noFill/>
        </a:ln>
      </c:spPr>
    </c:plotArea>
    <c:legend>
      <c:legendPos val="r"/>
      <c:layout>
        <c:manualLayout>
          <c:xMode val="edge"/>
          <c:yMode val="edge"/>
          <c:x val="0.169"/>
          <c:y val="0.9285"/>
          <c:w val="0.5935"/>
          <c:h val="0.071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175"/>
          <c:w val="0.9435"/>
          <c:h val="0.86875"/>
        </c:manualLayout>
      </c:layout>
      <c:barChart>
        <c:barDir val="col"/>
        <c:grouping val="clustered"/>
        <c:varyColors val="0"/>
        <c:ser>
          <c:idx val="0"/>
          <c:order val="0"/>
          <c:tx>
            <c:strRef>
              <c:f>'Data Entry'!$G$118</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ptCount val="12"/>
                <c:pt idx="0">
                  <c:v>17364.75</c:v>
                </c:pt>
                <c:pt idx="1">
                  <c:v>23153</c:v>
                </c:pt>
              </c:numCache>
            </c:numRef>
          </c:val>
        </c:ser>
        <c:ser>
          <c:idx val="1"/>
          <c:order val="1"/>
          <c:tx>
            <c:strRef>
              <c:f>'Data Entry'!$G$119</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ptCount val="12"/>
                <c:pt idx="0">
                  <c:v>11025</c:v>
                </c:pt>
                <c:pt idx="1">
                  <c:v>14891</c:v>
                </c:pt>
              </c:numCache>
            </c:numRef>
          </c:val>
        </c:ser>
        <c:axId val="803050"/>
        <c:axId val="7227451"/>
      </c:barChart>
      <c:catAx>
        <c:axId val="80305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7227451"/>
        <c:crosses val="autoZero"/>
        <c:auto val="1"/>
        <c:lblOffset val="100"/>
        <c:tickLblSkip val="1"/>
        <c:noMultiLvlLbl val="0"/>
      </c:catAx>
      <c:valAx>
        <c:axId val="7227451"/>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803050"/>
        <c:crossesAt val="1"/>
        <c:crossBetween val="between"/>
        <c:dispUnits/>
      </c:valAx>
      <c:spPr>
        <a:noFill/>
        <a:ln>
          <a:noFill/>
        </a:ln>
      </c:spPr>
    </c:plotArea>
    <c:legend>
      <c:legendPos val="r"/>
      <c:layout>
        <c:manualLayout>
          <c:xMode val="edge"/>
          <c:yMode val="edge"/>
          <c:x val="0.16675"/>
          <c:y val="0.92975"/>
          <c:w val="0.59775"/>
          <c:h val="0.0702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Disbursements to PR</a:t>
            </a:r>
          </a:p>
        </c:rich>
      </c:tx>
      <c:layout/>
      <c:spPr>
        <a:noFill/>
        <a:ln>
          <a:noFill/>
        </a:ln>
      </c:spPr>
    </c:title>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ptCount val="11"/>
                <c:pt idx="0">
                  <c:v>6031966</c:v>
                </c:pt>
                <c:pt idx="1">
                  <c:v>7769728</c:v>
                </c:pt>
                <c:pt idx="2">
                  <c:v>0</c:v>
                </c:pt>
                <c:pt idx="3">
                  <c:v>0</c:v>
                </c:pt>
                <c:pt idx="4">
                  <c:v>0</c:v>
                </c:pt>
                <c:pt idx="5">
                  <c:v>0</c:v>
                </c:pt>
                <c:pt idx="6">
                  <c:v>0</c:v>
                </c:pt>
                <c:pt idx="7">
                  <c:v>0</c:v>
                </c:pt>
                <c:pt idx="8">
                  <c:v>0</c:v>
                </c:pt>
                <c:pt idx="9">
                  <c:v>0</c:v>
                </c:pt>
                <c:pt idx="10">
                  <c:v>0</c:v>
                </c:pt>
              </c:numCache>
            </c:numRef>
          </c:val>
        </c:ser>
        <c:ser>
          <c:idx val="1"/>
          <c:order val="1"/>
          <c:tx>
            <c:strRef>
              <c:f>'Data Entry'!$B$34</c:f>
              <c:strCache>
                <c:ptCount val="1"/>
                <c:pt idx="0">
                  <c:v>Cumulative disbursements</c:v>
                </c:pt>
              </c:strCache>
            </c:strRef>
          </c:tx>
          <c:spPr>
            <a:gradFill rotWithShape="1">
              <a:gsLst>
                <a:gs pos="0">
                  <a:srgbClr val="CCFFCC"/>
                </a:gs>
                <a:gs pos="100000">
                  <a:srgbClr val="E3FFE3"/>
                </a:gs>
              </a:gsLst>
              <a:lin ang="5400000" scaled="1"/>
            </a:gradFill>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ptCount val="11"/>
                <c:pt idx="0">
                  <c:v>2868759</c:v>
                </c:pt>
                <c:pt idx="1">
                  <c:v>2868759</c:v>
                </c:pt>
                <c:pt idx="2">
                  <c:v>0</c:v>
                </c:pt>
                <c:pt idx="3">
                  <c:v>0</c:v>
                </c:pt>
                <c:pt idx="4">
                  <c:v>0</c:v>
                </c:pt>
                <c:pt idx="5">
                  <c:v>0</c:v>
                </c:pt>
                <c:pt idx="6">
                  <c:v>0</c:v>
                </c:pt>
                <c:pt idx="7">
                  <c:v>0</c:v>
                </c:pt>
                <c:pt idx="8">
                  <c:v>0</c:v>
                </c:pt>
                <c:pt idx="9">
                  <c:v>0</c:v>
                </c:pt>
                <c:pt idx="10">
                  <c:v>0</c:v>
                </c:pt>
              </c:numCache>
            </c:numRef>
          </c:val>
        </c:ser>
        <c:dropLines>
          <c:spPr>
            <a:ln w="3175">
              <a:solidFill>
                <a:srgbClr val="000000"/>
              </a:solidFill>
            </a:ln>
          </c:spPr>
        </c:dropLines>
        <c:axId val="65047060"/>
        <c:axId val="48552629"/>
      </c:areaChart>
      <c:catAx>
        <c:axId val="6504706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1" i="0" u="none" baseline="0">
                <a:solidFill>
                  <a:srgbClr val="000000"/>
                </a:solidFill>
              </a:defRPr>
            </a:pPr>
          </a:p>
        </c:txPr>
        <c:crossAx val="48552629"/>
        <c:crosses val="autoZero"/>
        <c:auto val="1"/>
        <c:lblOffset val="100"/>
        <c:tickLblSkip val="8"/>
        <c:noMultiLvlLbl val="0"/>
      </c:catAx>
      <c:valAx>
        <c:axId val="48552629"/>
        <c:scaling>
          <c:orientation val="minMax"/>
        </c:scaling>
        <c:axPos val="l"/>
        <c:title>
          <c:tx>
            <c:rich>
              <a:bodyPr vert="horz" rot="-5400000" anchor="ctr"/>
              <a:lstStyle/>
              <a:p>
                <a:pPr algn="ctr">
                  <a:defRPr/>
                </a:pPr>
                <a:r>
                  <a:rPr lang="en-US" cap="none" sz="100" b="0" i="0" u="none" baseline="0">
                    <a:solidFill>
                      <a:srgbClr val="000000"/>
                    </a:solidFill>
                  </a:rPr>
                  <a:t>USD</a:t>
                </a:r>
              </a:p>
            </c:rich>
          </c:tx>
          <c:layout/>
          <c:overlay val="0"/>
          <c:spPr>
            <a:noFill/>
            <a:ln>
              <a:noFill/>
            </a:ln>
          </c:spPr>
        </c:title>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65047060"/>
        <c:crossesAt val="1"/>
        <c:crossBetween val="midCat"/>
        <c:dispUnits/>
      </c:valAx>
      <c:spPr>
        <a:solidFill>
          <a:srgbClr val="FFFFFF"/>
        </a:solidFill>
        <a:ln w="3175">
          <a:solidFill>
            <a:srgbClr val="000000"/>
          </a:solidFill>
        </a:ln>
      </c:spPr>
    </c:plotArea>
    <c:legend>
      <c:legendPos val="r"/>
      <c:layout/>
      <c:overlay val="0"/>
      <c:spPr>
        <a:solidFill>
          <a:srgbClr val="FFFFFF"/>
        </a:solidFill>
        <a:ln w="3175">
          <a:solidFill>
            <a:srgbClr val="000000"/>
          </a:solidFill>
        </a:ln>
      </c:spPr>
    </c:legend>
    <c:plotVisOnly val="1"/>
    <c:dispBlanksAs val="zero"/>
    <c:showDLblsOverMax val="0"/>
  </c:chart>
  <c:spPr>
    <a:noFill/>
    <a:ln>
      <a:noFill/>
    </a:ln>
  </c:spPr>
  <c:txPr>
    <a:bodyPr vert="horz" rot="0"/>
    <a:lstStyle/>
    <a:p>
      <a:pPr>
        <a:defRPr lang="en-US" cap="none" sz="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2175"/>
          <c:w val="0.894"/>
          <c:h val="0.9105"/>
        </c:manualLayout>
      </c:layout>
      <c:barChart>
        <c:barDir val="col"/>
        <c:grouping val="stacked"/>
        <c:varyColors val="0"/>
        <c:ser>
          <c:idx val="0"/>
          <c:order val="0"/>
          <c:spPr>
            <a:solidFill>
              <a:srgbClr val="376092"/>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ptCount val="4"/>
                <c:pt idx="0">
                  <c:v>2868759</c:v>
                </c:pt>
                <c:pt idx="1">
                  <c:v>1097421.95</c:v>
                </c:pt>
              </c:numCache>
            </c:numRef>
          </c:val>
        </c:ser>
        <c:ser>
          <c:idx val="1"/>
          <c:order val="1"/>
          <c:spPr>
            <a:solidFill>
              <a:srgbClr val="93CDDD"/>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ptCount val="4"/>
                <c:pt idx="0">
                  <c:v>0</c:v>
                </c:pt>
                <c:pt idx="1">
                  <c:v>761419.51</c:v>
                </c:pt>
              </c:numCache>
            </c:numRef>
          </c:val>
        </c:ser>
        <c:overlap val="100"/>
        <c:axId val="64352038"/>
        <c:axId val="42297431"/>
      </c:barChart>
      <c:catAx>
        <c:axId val="64352038"/>
        <c:scaling>
          <c:orientation val="minMax"/>
        </c:scaling>
        <c:axPos val="b"/>
        <c:delete val="0"/>
        <c:numFmt formatCode="General" sourceLinked="1"/>
        <c:majorTickMark val="out"/>
        <c:minorTickMark val="none"/>
        <c:tickLblPos val="nextTo"/>
        <c:spPr>
          <a:ln w="3175">
            <a:solidFill>
              <a:srgbClr val="808080"/>
            </a:solidFill>
          </a:ln>
        </c:spPr>
        <c:crossAx val="42297431"/>
        <c:crossesAt val="0"/>
        <c:auto val="1"/>
        <c:lblOffset val="100"/>
        <c:tickLblSkip val="1"/>
        <c:noMultiLvlLbl val="0"/>
      </c:catAx>
      <c:valAx>
        <c:axId val="42297431"/>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435203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500" b="0" i="0" u="none" baseline="0">
                <a:solidFill>
                  <a:srgbClr val="000000"/>
                </a:solidFill>
                <a:latin typeface="Calibri"/>
                <a:ea typeface="Calibri"/>
                <a:cs typeface="Calibri"/>
              </a:defRPr>
            </a:pPr>
          </a:p>
        </c:txPr>
      </c:dTable>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04625"/>
          <c:w val="0.94475"/>
          <c:h val="0.74575"/>
        </c:manualLayout>
      </c:layout>
      <c:barChart>
        <c:barDir val="col"/>
        <c:grouping val="clustered"/>
        <c:varyColors val="0"/>
        <c:ser>
          <c:idx val="0"/>
          <c:order val="0"/>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Entry'!$B$39:$B$43</c:f>
              <c:strCache>
                <c:ptCount val="5"/>
                <c:pt idx="0">
                  <c:v>1. TB Care and Prevention</c:v>
                </c:pt>
                <c:pt idx="1">
                  <c:v>2. TB/HIV</c:v>
                </c:pt>
                <c:pt idx="2">
                  <c:v>3. MDR-TB</c:v>
                </c:pt>
                <c:pt idx="3">
                  <c:v>4. HSS-Health Information systems and M&amp;E</c:v>
                </c:pt>
                <c:pt idx="4">
                  <c:v>5. HSS- Financial Management</c:v>
                </c:pt>
              </c:strCache>
            </c:strRef>
          </c:cat>
          <c:val>
            <c:numRef>
              <c:f>'Data Entry'!$C$39:$C$43</c:f>
              <c:numCache>
                <c:ptCount val="5"/>
                <c:pt idx="0">
                  <c:v>2485141</c:v>
                </c:pt>
                <c:pt idx="1">
                  <c:v>588208</c:v>
                </c:pt>
                <c:pt idx="2">
                  <c:v>1395373</c:v>
                </c:pt>
                <c:pt idx="3">
                  <c:v>89402</c:v>
                </c:pt>
                <c:pt idx="4">
                  <c:v>127370</c:v>
                </c:pt>
              </c:numCache>
            </c:numRef>
          </c:val>
        </c:ser>
        <c:ser>
          <c:idx val="1"/>
          <c:order val="1"/>
          <c:spPr>
            <a:solidFill>
              <a:srgbClr val="CCC1DA"/>
            </a:solidFill>
            <a:ln w="3175">
              <a:solidFill>
                <a:srgbClr val="8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Entry'!$B$39:$B$43</c:f>
              <c:strCache>
                <c:ptCount val="5"/>
                <c:pt idx="0">
                  <c:v>1. TB Care and Prevention</c:v>
                </c:pt>
                <c:pt idx="1">
                  <c:v>2. TB/HIV</c:v>
                </c:pt>
                <c:pt idx="2">
                  <c:v>3. MDR-TB</c:v>
                </c:pt>
                <c:pt idx="3">
                  <c:v>4. HSS-Health Information systems and M&amp;E</c:v>
                </c:pt>
                <c:pt idx="4">
                  <c:v>5. HSS- Financial Management</c:v>
                </c:pt>
              </c:strCache>
            </c:strRef>
          </c:cat>
          <c:val>
            <c:numRef>
              <c:f>'Data Entry'!$D$39:$D$43</c:f>
              <c:numCache>
                <c:ptCount val="5"/>
                <c:pt idx="0">
                  <c:v>959200</c:v>
                </c:pt>
                <c:pt idx="1">
                  <c:v>13310</c:v>
                </c:pt>
                <c:pt idx="2">
                  <c:v>320549.54</c:v>
                </c:pt>
                <c:pt idx="3">
                  <c:v>0</c:v>
                </c:pt>
                <c:pt idx="4">
                  <c:v>46164</c:v>
                </c:pt>
              </c:numCache>
            </c:numRef>
          </c:val>
        </c:ser>
        <c:axId val="45132560"/>
        <c:axId val="3539857"/>
      </c:barChart>
      <c:catAx>
        <c:axId val="45132560"/>
        <c:scaling>
          <c:orientation val="minMax"/>
        </c:scaling>
        <c:axPos val="b"/>
        <c:delete val="0"/>
        <c:numFmt formatCode="General" sourceLinked="1"/>
        <c:majorTickMark val="out"/>
        <c:minorTickMark val="none"/>
        <c:tickLblPos val="nextTo"/>
        <c:spPr>
          <a:ln w="3175">
            <a:solidFill>
              <a:srgbClr val="000000"/>
            </a:solidFill>
          </a:ln>
        </c:spPr>
        <c:crossAx val="3539857"/>
        <c:crosses val="autoZero"/>
        <c:auto val="1"/>
        <c:lblOffset val="100"/>
        <c:tickLblSkip val="1"/>
        <c:noMultiLvlLbl val="0"/>
      </c:catAx>
      <c:valAx>
        <c:axId val="353985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75" b="0" i="0" u="none" baseline="0">
                <a:solidFill>
                  <a:srgbClr val="000000"/>
                </a:solidFill>
              </a:defRPr>
            </a:pPr>
          </a:p>
        </c:txPr>
        <c:crossAx val="4513256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425" b="0" i="0" u="none" baseline="0">
                <a:solidFill>
                  <a:srgbClr val="000000"/>
                </a:solidFill>
              </a:defRPr>
            </a:pPr>
          </a:p>
        </c:txPr>
      </c:dTable>
      <c:spPr>
        <a:noFill/>
        <a:ln w="12700">
          <a:solidFill>
            <a:srgbClr val="000000"/>
          </a:solidFill>
        </a:ln>
      </c:spPr>
    </c:plotArea>
    <c:plotVisOnly val="1"/>
    <c:dispBlanksAs val="gap"/>
    <c:showDLblsOverMax val="0"/>
  </c:chart>
  <c:spPr>
    <a:noFill/>
    <a:ln>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6875"/>
          <c:w val="0.9905"/>
          <c:h val="0.68775"/>
        </c:manualLayout>
      </c:layout>
      <c:barChart>
        <c:barDir val="bar"/>
        <c:grouping val="percentStacked"/>
        <c:varyColors val="0"/>
        <c:ser>
          <c:idx val="0"/>
          <c:order val="0"/>
          <c:tx>
            <c:strRef>
              <c:f>'Data Entry'!$C$78</c:f>
              <c:strCache>
                <c:ptCount val="1"/>
                <c:pt idx="0">
                  <c:v>Planned</c:v>
                </c:pt>
              </c:strCache>
            </c:strRef>
          </c:tx>
          <c:spPr>
            <a:no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0" sourceLinked="0"/>
              <c:showLegendKey val="0"/>
              <c:showVal val="1"/>
              <c:showBubbleSize val="0"/>
              <c:showCatName val="0"/>
              <c:showSerName val="1"/>
              <c:showPercent val="0"/>
            </c:dLbl>
            <c:numFmt formatCode="#,##0" sourceLinked="0"/>
            <c:showLegendKey val="0"/>
            <c:showVal val="1"/>
            <c:showBubbleSize val="0"/>
            <c:showCatName val="0"/>
            <c:showSerName val="1"/>
            <c:showPercent val="0"/>
          </c:dLbls>
          <c:val>
            <c:numRef>
              <c:f>'Data Entry'!$C$79</c:f>
              <c:numCache>
                <c:ptCount val="1"/>
              </c:numCache>
            </c:numRef>
          </c:val>
        </c:ser>
        <c:overlap val="100"/>
        <c:gapWidth val="79"/>
        <c:axId val="31858714"/>
        <c:axId val="18292971"/>
      </c:barChart>
      <c:barChart>
        <c:barDir val="bar"/>
        <c:grouping val="percentStacked"/>
        <c:varyColors val="0"/>
        <c:ser>
          <c:idx val="1"/>
          <c:order val="1"/>
          <c:tx>
            <c:strRef>
              <c:f>'Data Entry'!$D$78</c:f>
              <c:strCache>
                <c:ptCount val="1"/>
                <c:pt idx="0">
                  <c:v>Filled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'Data Entry'!$D$79</c:f>
              <c:numCache>
                <c:ptCount val="1"/>
              </c:numCache>
            </c:numRef>
          </c:val>
        </c:ser>
        <c:ser>
          <c:idx val="2"/>
          <c:order val="2"/>
          <c:tx>
            <c:strRef>
              <c:f>'Data Entry'!$E$78</c:f>
              <c:strCache>
                <c:ptCount val="1"/>
                <c:pt idx="0">
                  <c:v>Vacant</c:v>
                </c:pt>
              </c:strCache>
            </c:strRef>
          </c:tx>
          <c:spPr>
            <a:solidFill>
              <a:srgbClr val="FF7171"/>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'Data Entry'!$E$79</c:f>
              <c:numCache>
                <c:ptCount val="1"/>
                <c:pt idx="0">
                  <c:v>0</c:v>
                </c:pt>
              </c:numCache>
            </c:numRef>
          </c:val>
        </c:ser>
        <c:overlap val="100"/>
        <c:gapWidth val="191"/>
        <c:axId val="30419012"/>
        <c:axId val="5335653"/>
      </c:barChart>
      <c:catAx>
        <c:axId val="31858714"/>
        <c:scaling>
          <c:orientation val="minMax"/>
        </c:scaling>
        <c:axPos val="l"/>
        <c:delete val="1"/>
        <c:majorTickMark val="out"/>
        <c:minorTickMark val="none"/>
        <c:tickLblPos val="nextTo"/>
        <c:crossAx val="18292971"/>
        <c:crosses val="autoZero"/>
        <c:auto val="1"/>
        <c:lblOffset val="100"/>
        <c:tickLblSkip val="1"/>
        <c:noMultiLvlLbl val="0"/>
      </c:catAx>
      <c:valAx>
        <c:axId val="18292971"/>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31858714"/>
        <c:crosses val="max"/>
        <c:crossBetween val="between"/>
        <c:dispUnits/>
      </c:valAx>
      <c:catAx>
        <c:axId val="30419012"/>
        <c:scaling>
          <c:orientation val="minMax"/>
        </c:scaling>
        <c:axPos val="l"/>
        <c:delete val="1"/>
        <c:majorTickMark val="out"/>
        <c:minorTickMark val="none"/>
        <c:tickLblPos val="nextTo"/>
        <c:crossAx val="5335653"/>
        <c:crosses val="autoZero"/>
        <c:auto val="0"/>
        <c:lblOffset val="100"/>
        <c:tickLblSkip val="1"/>
        <c:noMultiLvlLbl val="0"/>
      </c:catAx>
      <c:valAx>
        <c:axId val="5335653"/>
        <c:scaling>
          <c:orientation val="minMax"/>
        </c:scaling>
        <c:axPos val="b"/>
        <c:delete val="0"/>
        <c:numFmt formatCode="General" sourceLinked="1"/>
        <c:majorTickMark val="none"/>
        <c:minorTickMark val="none"/>
        <c:tickLblPos val="none"/>
        <c:spPr>
          <a:ln w="3175">
            <a:solidFill>
              <a:srgbClr val="000000"/>
            </a:solidFill>
          </a:ln>
        </c:spPr>
        <c:crossAx val="30419012"/>
        <c:crossesAt val="1"/>
        <c:crossBetween val="between"/>
        <c:dispUnits/>
      </c:valAx>
      <c:spPr>
        <a:solidFill>
          <a:srgbClr val="FFFFFF"/>
        </a:solidFill>
        <a:ln w="3175">
          <a:noFill/>
        </a:ln>
      </c:spPr>
    </c:plotArea>
    <c:legend>
      <c:legendPos val="r"/>
      <c:legendEntry>
        <c:idx val="0"/>
        <c:delete val="1"/>
      </c:legendEntry>
      <c:layout>
        <c:manualLayout>
          <c:xMode val="edge"/>
          <c:yMode val="edge"/>
          <c:x val="0.2895"/>
          <c:y val="0.82175"/>
          <c:w val="0.19875"/>
          <c:h val="0.14725"/>
        </c:manualLayout>
      </c:layout>
      <c:overlay val="0"/>
      <c:spPr>
        <a:noFill/>
        <a:ln w="3175">
          <a:noFill/>
        </a:ln>
      </c:spPr>
      <c:txPr>
        <a:bodyPr vert="horz" rot="0"/>
        <a:lstStyle/>
        <a:p>
          <a:pPr>
            <a:defRPr lang="en-US" cap="none" sz="57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5725"/>
          <c:w val="0.976"/>
          <c:h val="0.7515"/>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Entry'!$C$84</c:f>
              <c:numCache>
                <c:ptCount val="1"/>
                <c:pt idx="0">
                  <c:v>117</c:v>
                </c:pt>
              </c:numCache>
            </c:numRef>
          </c:val>
        </c:ser>
        <c:ser>
          <c:idx val="1"/>
          <c:order val="1"/>
          <c:tx>
            <c:strRef>
              <c:f>'Data Entry'!$D$83</c:f>
              <c:strCache>
                <c:ptCount val="1"/>
                <c:pt idx="0">
                  <c:v>Assessed</c:v>
                </c:pt>
              </c:strCache>
            </c:strRef>
          </c:tx>
          <c:spPr>
            <a:solidFill>
              <a:srgbClr val="C0C0C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Entry'!$D$84</c:f>
              <c:numCache>
                <c:ptCount val="1"/>
                <c:pt idx="0">
                  <c:v>117</c:v>
                </c:pt>
              </c:numCache>
            </c:numRef>
          </c:val>
        </c:ser>
        <c:ser>
          <c:idx val="2"/>
          <c:order val="2"/>
          <c:tx>
            <c:strRef>
              <c:f>'Data Entry'!$E$83</c:f>
              <c:strCache>
                <c:ptCount val="1"/>
                <c:pt idx="0">
                  <c:v>Approved</c:v>
                </c:pt>
              </c:strCache>
            </c:strRef>
          </c:tx>
          <c:spPr>
            <a:solidFill>
              <a:srgbClr val="969696"/>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Entry'!$E$84</c:f>
              <c:numCache>
                <c:ptCount val="1"/>
                <c:pt idx="0">
                  <c:v>47</c:v>
                </c:pt>
              </c:numCache>
            </c:numRef>
          </c:val>
        </c:ser>
        <c:ser>
          <c:idx val="3"/>
          <c:order val="3"/>
          <c:tx>
            <c:strRef>
              <c:f>'Data Entry'!$F$83</c:f>
              <c:strCache>
                <c:ptCount val="1"/>
                <c:pt idx="0">
                  <c:v>Signed</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Entry'!$F$84</c:f>
              <c:numCache>
                <c:ptCount val="1"/>
                <c:pt idx="0">
                  <c:v>47</c:v>
                </c:pt>
              </c:numCache>
            </c:numRef>
          </c:val>
        </c:ser>
        <c:ser>
          <c:idx val="4"/>
          <c:order val="4"/>
          <c:tx>
            <c:strRef>
              <c:f>'Data Entry'!$G$83</c:f>
              <c:strCache>
                <c:ptCount val="1"/>
                <c:pt idx="0">
                  <c:v>Receiving Funding</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Entry'!$G$84</c:f>
              <c:numCache>
                <c:ptCount val="1"/>
                <c:pt idx="0">
                  <c:v>47</c:v>
                </c:pt>
              </c:numCache>
            </c:numRef>
          </c:val>
        </c:ser>
        <c:overlap val="-20"/>
        <c:axId val="48020878"/>
        <c:axId val="29534719"/>
      </c:barChart>
      <c:catAx>
        <c:axId val="48020878"/>
        <c:scaling>
          <c:orientation val="minMax"/>
        </c:scaling>
        <c:axPos val="b"/>
        <c:delete val="0"/>
        <c:numFmt formatCode="General" sourceLinked="1"/>
        <c:majorTickMark val="none"/>
        <c:minorTickMark val="none"/>
        <c:tickLblPos val="none"/>
        <c:spPr>
          <a:ln w="3175">
            <a:solidFill>
              <a:srgbClr val="000000"/>
            </a:solidFill>
          </a:ln>
        </c:spPr>
        <c:crossAx val="29534719"/>
        <c:crosses val="autoZero"/>
        <c:auto val="0"/>
        <c:lblOffset val="100"/>
        <c:tickLblSkip val="1"/>
        <c:noMultiLvlLbl val="0"/>
      </c:catAx>
      <c:valAx>
        <c:axId val="29534719"/>
        <c:scaling>
          <c:orientation val="minMax"/>
        </c:scaling>
        <c:axPos val="l"/>
        <c:delete val="0"/>
        <c:numFmt formatCode="General" sourceLinked="1"/>
        <c:majorTickMark val="out"/>
        <c:minorTickMark val="none"/>
        <c:tickLblPos val="nextTo"/>
        <c:spPr>
          <a:ln w="3175">
            <a:solidFill>
              <a:srgbClr val="000000"/>
            </a:solidFill>
          </a:ln>
        </c:spPr>
        <c:crossAx val="48020878"/>
        <c:crossesAt val="1"/>
        <c:crossBetween val="between"/>
        <c:dispUnits/>
      </c:valAx>
      <c:spPr>
        <a:noFill/>
        <a:ln>
          <a:noFill/>
        </a:ln>
      </c:spPr>
    </c:plotArea>
    <c:legend>
      <c:legendPos val="r"/>
      <c:layout>
        <c:manualLayout>
          <c:xMode val="edge"/>
          <c:yMode val="edge"/>
          <c:x val="0.06475"/>
          <c:y val="0.86775"/>
          <c:w val="0.873"/>
          <c:h val="0.1092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1675"/>
          <c:w val="0.9545"/>
          <c:h val="0.837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Entry'!$D$72:$D$73</c:f>
              <c:numCache>
                <c:ptCount val="2"/>
              </c:numCache>
            </c:numRef>
          </c:val>
        </c:ser>
        <c:ser>
          <c:idx val="1"/>
          <c:order val="1"/>
          <c:tx>
            <c:strRef>
              <c:f>'Data Entry'!$E$71</c:f>
              <c:strCache>
                <c:ptCount val="1"/>
                <c:pt idx="0">
                  <c:v>Not fulfilled, but within deadline</c:v>
                </c:pt>
              </c:strCache>
            </c:strRef>
          </c:tx>
          <c:spPr>
            <a:solidFill>
              <a:srgbClr val="FFFF99"/>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Entry'!$E$72:$E$73</c:f>
              <c:numCache>
                <c:ptCount val="2"/>
              </c:numCache>
            </c:numRef>
          </c:val>
        </c:ser>
        <c:ser>
          <c:idx val="2"/>
          <c:order val="2"/>
          <c:tx>
            <c:strRef>
              <c:f>'Data Entry'!$F$71</c:f>
              <c:strCache>
                <c:ptCount val="1"/>
                <c:pt idx="0">
                  <c:v>Not fulfilled, and past the deadline</c:v>
                </c:pt>
              </c:strCache>
            </c:strRef>
          </c:tx>
          <c:spPr>
            <a:solidFill>
              <a:srgbClr val="FF505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Entry'!$F$72:$F$73</c:f>
              <c:numCache>
                <c:ptCount val="2"/>
              </c:numCache>
            </c:numRef>
          </c:val>
        </c:ser>
        <c:overlap val="100"/>
        <c:gapWidth val="70"/>
        <c:axId val="64485880"/>
        <c:axId val="43502009"/>
      </c:barChart>
      <c:catAx>
        <c:axId val="6448588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502009"/>
        <c:crosses val="autoZero"/>
        <c:auto val="1"/>
        <c:lblOffset val="100"/>
        <c:tickLblSkip val="1"/>
        <c:noMultiLvlLbl val="0"/>
      </c:catAx>
      <c:valAx>
        <c:axId val="4350200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485880"/>
        <c:crossesAt val="1"/>
        <c:crossBetween val="between"/>
        <c:dispUnits/>
      </c:valAx>
      <c:spPr>
        <a:noFill/>
        <a:ln>
          <a:noFill/>
        </a:ln>
      </c:spPr>
    </c:plotArea>
    <c:legend>
      <c:legendPos val="r"/>
      <c:layout>
        <c:manualLayout>
          <c:xMode val="edge"/>
          <c:yMode val="edge"/>
          <c:x val="0.01875"/>
          <c:y val="0.83625"/>
          <c:w val="0.97425"/>
          <c:h val="0.1637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noFill/>
    <a:ln>
      <a:noFill/>
    </a:ln>
  </c:spPr>
  <c:txPr>
    <a:bodyPr vert="horz" rot="0"/>
    <a:lstStyle/>
    <a:p>
      <a:pPr>
        <a:defRPr lang="en-US" cap="none" sz="5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10225"/>
          <c:w val="0.978"/>
          <c:h val="0.75725"/>
        </c:manualLayout>
      </c:layout>
      <c:barChart>
        <c:barDir val="bar"/>
        <c:grouping val="percentStacked"/>
        <c:varyColors val="0"/>
        <c:ser>
          <c:idx val="1"/>
          <c:order val="0"/>
          <c:tx>
            <c:strRef>
              <c:f>'Data Entry'!$D$88</c:f>
              <c:strCache>
                <c:ptCount val="1"/>
                <c:pt idx="0">
                  <c:v># Received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'Data Entry'!$B$89:$B$90</c:f>
              <c:strCache>
                <c:ptCount val="2"/>
                <c:pt idx="0">
                  <c:v>SSR to SR</c:v>
                </c:pt>
                <c:pt idx="1">
                  <c:v>SRs to PR</c:v>
                </c:pt>
              </c:strCache>
            </c:strRef>
          </c:cat>
          <c:val>
            <c:numRef>
              <c:f>'Data Entry'!$D$89:$D$90</c:f>
              <c:numCache>
                <c:ptCount val="2"/>
                <c:pt idx="0">
                  <c:v>0</c:v>
                </c:pt>
              </c:numCache>
            </c:numRef>
          </c:val>
        </c:ser>
        <c:ser>
          <c:idx val="2"/>
          <c:order val="1"/>
          <c:tx>
            <c:strRef>
              <c:f>'Data Entry'!$E$88</c:f>
              <c:strCache>
                <c:ptCount val="1"/>
                <c:pt idx="0">
                  <c:v>Pending</c:v>
                </c:pt>
              </c:strCache>
            </c:strRef>
          </c:tx>
          <c:spPr>
            <a:solidFill>
              <a:srgbClr val="FF5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'Data Entry'!$B$89:$B$90</c:f>
              <c:strCache>
                <c:ptCount val="2"/>
                <c:pt idx="0">
                  <c:v>SSR to SR</c:v>
                </c:pt>
                <c:pt idx="1">
                  <c:v>SRs to PR</c:v>
                </c:pt>
              </c:strCache>
            </c:strRef>
          </c:cat>
          <c:val>
            <c:numRef>
              <c:f>'Data Entry'!$E$89:$E$90</c:f>
              <c:numCache>
                <c:ptCount val="2"/>
                <c:pt idx="0">
                  <c:v>0</c:v>
                </c:pt>
                <c:pt idx="1">
                  <c:v>0</c:v>
                </c:pt>
              </c:numCache>
            </c:numRef>
          </c:val>
        </c:ser>
        <c:overlap val="100"/>
        <c:gapWidth val="101"/>
        <c:axId val="55973762"/>
        <c:axId val="34001811"/>
      </c:barChart>
      <c:catAx>
        <c:axId val="55973762"/>
        <c:scaling>
          <c:orientation val="minMax"/>
        </c:scaling>
        <c:axPos val="l"/>
        <c:delete val="0"/>
        <c:numFmt formatCode="General" sourceLinked="1"/>
        <c:majorTickMark val="out"/>
        <c:minorTickMark val="none"/>
        <c:tickLblPos val="nextTo"/>
        <c:spPr>
          <a:ln w="3175">
            <a:solidFill>
              <a:srgbClr val="000000"/>
            </a:solidFill>
          </a:ln>
        </c:spPr>
        <c:crossAx val="34001811"/>
        <c:crosses val="autoZero"/>
        <c:auto val="1"/>
        <c:lblOffset val="100"/>
        <c:tickLblSkip val="1"/>
        <c:noMultiLvlLbl val="0"/>
      </c:catAx>
      <c:valAx>
        <c:axId val="34001811"/>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55973762"/>
        <c:crosses val="max"/>
        <c:crossBetween val="between"/>
        <c:dispUnits/>
      </c:valAx>
      <c:spPr>
        <a:solidFill>
          <a:srgbClr val="FFFFFF"/>
        </a:solidFill>
        <a:ln w="3175">
          <a:noFill/>
        </a:ln>
      </c:spPr>
    </c:plotArea>
    <c:legend>
      <c:legendPos val="r"/>
      <c:layout>
        <c:manualLayout>
          <c:xMode val="edge"/>
          <c:yMode val="edge"/>
          <c:x val="0.3135"/>
          <c:y val="0.8255"/>
          <c:w val="0.36175"/>
          <c:h val="0.13375"/>
        </c:manualLayout>
      </c:layout>
      <c:overlay val="0"/>
      <c:spPr>
        <a:noFill/>
        <a:ln w="3175">
          <a:noFill/>
        </a:ln>
      </c:spPr>
      <c:txPr>
        <a:bodyPr vert="horz" rot="0"/>
        <a:lstStyle/>
        <a:p>
          <a:pPr>
            <a:defRPr lang="en-US" cap="none" sz="57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75"/>
          <c:y val="0.0525"/>
          <c:w val="0.902"/>
          <c:h val="0.7305"/>
        </c:manualLayout>
      </c:layout>
      <c:lineChart>
        <c:grouping val="standard"/>
        <c:varyColors val="0"/>
        <c:ser>
          <c:idx val="0"/>
          <c:order val="0"/>
          <c:tx>
            <c:strRef>
              <c:f>'Data Entry'!$B$98</c:f>
              <c:strCache>
                <c:ptCount val="1"/>
                <c:pt idx="0">
                  <c:v>Budget Approved cumulative*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 Entry'!$C$98:$N$98</c:f>
              <c:numCache>
                <c:ptCount val="12"/>
                <c:pt idx="0">
                  <c:v>5054536.74</c:v>
                </c:pt>
                <c:pt idx="1">
                  <c:v>5228735.9</c:v>
                </c:pt>
                <c:pt idx="2">
                  <c:v>5228735.9</c:v>
                </c:pt>
                <c:pt idx="3">
                  <c:v>5228735.9</c:v>
                </c:pt>
                <c:pt idx="4">
                  <c:v>5228735.9</c:v>
                </c:pt>
                <c:pt idx="5">
                  <c:v>5228735.9</c:v>
                </c:pt>
                <c:pt idx="6">
                  <c:v>5228735.9</c:v>
                </c:pt>
                <c:pt idx="7">
                  <c:v>5228735.9</c:v>
                </c:pt>
                <c:pt idx="8">
                  <c:v>5228735.9</c:v>
                </c:pt>
                <c:pt idx="9">
                  <c:v>5228735.9</c:v>
                </c:pt>
                <c:pt idx="10">
                  <c:v>5228735.9</c:v>
                </c:pt>
                <c:pt idx="11">
                  <c:v>5228735.9</c:v>
                </c:pt>
              </c:numCache>
            </c:numRef>
          </c:val>
          <c:smooth val="0"/>
        </c:ser>
        <c:ser>
          <c:idx val="1"/>
          <c:order val="1"/>
          <c:tx>
            <c:strRef>
              <c:f>'Data Entry'!$B$99</c:f>
              <c:strCache>
                <c:ptCount val="1"/>
                <c:pt idx="0">
                  <c:v>Obligations cumulative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000080"/>
                </a:solidFill>
              </a:ln>
            </c:spPr>
          </c:marker>
          <c:val>
            <c:numRef>
              <c:f>'Data Entry'!$C$99:$N$99</c:f>
              <c:numCache>
                <c:ptCount val="12"/>
                <c:pt idx="0">
                  <c:v>480382.58</c:v>
                </c:pt>
                <c:pt idx="1">
                  <c:v>5257261.12</c:v>
                </c:pt>
                <c:pt idx="2">
                  <c:v>5257261.12</c:v>
                </c:pt>
                <c:pt idx="3">
                  <c:v>5257261.12</c:v>
                </c:pt>
                <c:pt idx="4">
                  <c:v>5257261.12</c:v>
                </c:pt>
                <c:pt idx="5">
                  <c:v>5257261.12</c:v>
                </c:pt>
                <c:pt idx="6">
                  <c:v>5257261.12</c:v>
                </c:pt>
                <c:pt idx="7">
                  <c:v>5257261.12</c:v>
                </c:pt>
                <c:pt idx="8">
                  <c:v>5257261.12</c:v>
                </c:pt>
                <c:pt idx="9">
                  <c:v>5257261.12</c:v>
                </c:pt>
                <c:pt idx="10">
                  <c:v>5257261.12</c:v>
                </c:pt>
                <c:pt idx="11">
                  <c:v>5257261.12</c:v>
                </c:pt>
              </c:numCache>
            </c:numRef>
          </c:val>
          <c:smooth val="0"/>
        </c:ser>
        <c:ser>
          <c:idx val="2"/>
          <c:order val="2"/>
          <c:tx>
            <c:strRef>
              <c:f>'Data Entry'!$B$100</c:f>
              <c:strCache>
                <c:ptCount val="1"/>
                <c:pt idx="0">
                  <c:v>Expenditures cumulative</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6600"/>
                </a:solidFill>
              </a:ln>
            </c:spPr>
          </c:marker>
          <c:val>
            <c:numRef>
              <c:f>'Data Entry'!$C$100:$N$100</c:f>
              <c:numCache>
                <c:ptCount val="12"/>
                <c:pt idx="0">
                  <c:v>4409362.83</c:v>
                </c:pt>
                <c:pt idx="1">
                  <c:v>4450547.76</c:v>
                </c:pt>
                <c:pt idx="2">
                  <c:v>4450547.76</c:v>
                </c:pt>
                <c:pt idx="3">
                  <c:v>4450547.76</c:v>
                </c:pt>
                <c:pt idx="4">
                  <c:v>4450547.76</c:v>
                </c:pt>
                <c:pt idx="5">
                  <c:v>4450547.76</c:v>
                </c:pt>
                <c:pt idx="6">
                  <c:v>4450547.76</c:v>
                </c:pt>
                <c:pt idx="7">
                  <c:v>4450547.76</c:v>
                </c:pt>
                <c:pt idx="8">
                  <c:v>4450547.76</c:v>
                </c:pt>
                <c:pt idx="9">
                  <c:v>4450547.76</c:v>
                </c:pt>
                <c:pt idx="10">
                  <c:v>4450547.76</c:v>
                </c:pt>
                <c:pt idx="11">
                  <c:v>4450547.76</c:v>
                </c:pt>
              </c:numCache>
            </c:numRef>
          </c:val>
          <c:smooth val="0"/>
        </c:ser>
        <c:marker val="1"/>
        <c:axId val="37580844"/>
        <c:axId val="2683277"/>
      </c:lineChart>
      <c:catAx>
        <c:axId val="3758084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2683277"/>
        <c:crosses val="autoZero"/>
        <c:auto val="1"/>
        <c:lblOffset val="100"/>
        <c:tickLblSkip val="1"/>
        <c:noMultiLvlLbl val="0"/>
      </c:catAx>
      <c:valAx>
        <c:axId val="26832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37580844"/>
        <c:crossesAt val="1"/>
        <c:crossBetween val="between"/>
        <c:dispUnits/>
      </c:valAx>
      <c:spPr>
        <a:solidFill>
          <a:srgbClr val="FFFFFF"/>
        </a:solidFill>
        <a:ln w="12700">
          <a:solidFill>
            <a:srgbClr val="808080"/>
          </a:solidFill>
        </a:ln>
      </c:spPr>
    </c:plotArea>
    <c:legend>
      <c:legendPos val="r"/>
      <c:layout>
        <c:manualLayout>
          <c:xMode val="edge"/>
          <c:yMode val="edge"/>
          <c:x val="0.051"/>
          <c:y val="0.70525"/>
          <c:w val="0.944"/>
          <c:h val="0.17925"/>
        </c:manualLayout>
      </c:layout>
      <c:overlay val="0"/>
      <c:spPr>
        <a:noFill/>
        <a:ln w="3175">
          <a:noFill/>
        </a:ln>
      </c:spPr>
      <c:txPr>
        <a:bodyPr vert="horz" rot="0"/>
        <a:lstStyle/>
        <a:p>
          <a:pPr>
            <a:defRPr lang="en-US" cap="none" sz="460"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2"/>
          <c:w val="0.94325"/>
          <c:h val="0.86825"/>
        </c:manualLayout>
      </c:layout>
      <c:barChart>
        <c:barDir val="col"/>
        <c:grouping val="clustered"/>
        <c:varyColors val="0"/>
        <c:ser>
          <c:idx val="0"/>
          <c:order val="0"/>
          <c:tx>
            <c:strRef>
              <c:f>'Data Entry'!$G$120</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ptCount val="12"/>
                <c:pt idx="0">
                  <c:v>8508.75</c:v>
                </c:pt>
                <c:pt idx="1">
                  <c:v>11345</c:v>
                </c:pt>
              </c:numCache>
            </c:numRef>
          </c:val>
        </c:ser>
        <c:ser>
          <c:idx val="1"/>
          <c:order val="1"/>
          <c:tx>
            <c:strRef>
              <c:f>'Data Entry'!$G$121</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ptCount val="12"/>
                <c:pt idx="0">
                  <c:v>5642</c:v>
                </c:pt>
                <c:pt idx="1">
                  <c:v>8178</c:v>
                </c:pt>
              </c:numCache>
            </c:numRef>
          </c:val>
        </c:ser>
        <c:axId val="24149494"/>
        <c:axId val="16018855"/>
      </c:barChart>
      <c:catAx>
        <c:axId val="2414949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16018855"/>
        <c:crosses val="autoZero"/>
        <c:auto val="1"/>
        <c:lblOffset val="100"/>
        <c:tickLblSkip val="1"/>
        <c:noMultiLvlLbl val="0"/>
      </c:catAx>
      <c:valAx>
        <c:axId val="16018855"/>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24149494"/>
        <c:crossesAt val="1"/>
        <c:crossBetween val="between"/>
        <c:dispUnits/>
      </c:valAx>
      <c:spPr>
        <a:noFill/>
        <a:ln>
          <a:noFill/>
        </a:ln>
      </c:spPr>
    </c:plotArea>
    <c:legend>
      <c:legendPos val="r"/>
      <c:layout>
        <c:manualLayout>
          <c:xMode val="edge"/>
          <c:yMode val="edge"/>
          <c:x val="0.16375"/>
          <c:y val="0.92925"/>
          <c:w val="0.6"/>
          <c:h val="0.0707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6.png" /><Relationship Id="rId3" Type="http://schemas.openxmlformats.org/officeDocument/2006/relationships/hyperlink" Target="#Finance!A1" /><Relationship Id="rId4" Type="http://schemas.openxmlformats.org/officeDocument/2006/relationships/hyperlink" Target="#Programmatic!A1" /><Relationship Id="rId5" Type="http://schemas.openxmlformats.org/officeDocument/2006/relationships/hyperlink" Target="#Management!A1" /><Relationship Id="rId6" Type="http://schemas.openxmlformats.org/officeDocument/2006/relationships/hyperlink" Target="#Recommendations!A1" /><Relationship Id="rId7" Type="http://schemas.openxmlformats.org/officeDocument/2006/relationships/hyperlink" Target="#Actions!A1" /><Relationship Id="rId8" Type="http://schemas.openxmlformats.org/officeDocument/2006/relationships/hyperlink" Target="#'Grant Detail'!A1" /><Relationship Id="rId9" Type="http://schemas.openxmlformats.org/officeDocument/2006/relationships/hyperlink" Target="#'List of Indicators'!A1" /><Relationship Id="rId10" Type="http://schemas.openxmlformats.org/officeDocument/2006/relationships/hyperlink" Target="#'Data Entry'!A1" /><Relationship Id="rId11" Type="http://schemas.openxmlformats.org/officeDocument/2006/relationships/image" Target="../media/image7.png" /><Relationship Id="rId12" Type="http://schemas.openxmlformats.org/officeDocument/2006/relationships/image" Target="../media/image8.png" /><Relationship Id="rId13" Type="http://schemas.openxmlformats.org/officeDocument/2006/relationships/image" Target="../media/image9.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Menu!A1" /><Relationship Id="rId3" Type="http://schemas.openxmlformats.org/officeDocument/2006/relationships/chart" Target="/xl/charts/chart2.xml" /><Relationship Id="rId4" Type="http://schemas.openxmlformats.org/officeDocument/2006/relationships/image" Target="../media/image11.png" /><Relationship Id="rId5" Type="http://schemas.openxmlformats.org/officeDocument/2006/relationships/chart" Target="/xl/charts/chart3.xml" /><Relationship Id="rId6"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u!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Menu!A1" /><Relationship Id="rId3" Type="http://schemas.openxmlformats.org/officeDocument/2006/relationships/chart" Target="/xl/charts/chart10.xml" /><Relationship Id="rId4"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hyperlink" Target="#Menu!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hyperlink" Target="#Menu!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xdr:row>
      <xdr:rowOff>142875</xdr:rowOff>
    </xdr:from>
    <xdr:to>
      <xdr:col>11</xdr:col>
      <xdr:colOff>638175</xdr:colOff>
      <xdr:row>19</xdr:row>
      <xdr:rowOff>104775</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rcRect l="31349" t="36853" r="9530"/>
        <a:stretch>
          <a:fillRect/>
        </a:stretch>
      </xdr:blipFill>
      <xdr:spPr>
        <a:xfrm>
          <a:off x="38100" y="1381125"/>
          <a:ext cx="7648575" cy="2819400"/>
        </a:xfrm>
        <a:prstGeom prst="rect">
          <a:avLst/>
        </a:prstGeom>
        <a:noFill/>
        <a:ln w="1" cmpd="sng">
          <a:noFill/>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257425"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76200</xdr:rowOff>
    </xdr:to>
    <xdr:sp>
      <xdr:nvSpPr>
        <xdr:cNvPr id="3" name="AutoShape 27"/>
        <xdr:cNvSpPr>
          <a:spLocks/>
        </xdr:cNvSpPr>
      </xdr:nvSpPr>
      <xdr:spPr>
        <a:xfrm>
          <a:off x="2619375" y="1914525"/>
          <a:ext cx="2581275" cy="2066925"/>
        </a:xfrm>
        <a:prstGeom prst="roundRect">
          <a:avLst/>
        </a:prstGeom>
        <a:gradFill rotWithShape="1">
          <a:gsLst>
            <a:gs pos="0">
              <a:srgbClr val="D48886"/>
            </a:gs>
            <a:gs pos="100000">
              <a:srgbClr val="B24B48"/>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533400</xdr:colOff>
      <xdr:row>12</xdr:row>
      <xdr:rowOff>38100</xdr:rowOff>
    </xdr:to>
    <xdr:grpSp>
      <xdr:nvGrpSpPr>
        <xdr:cNvPr id="4" name="Group 25">
          <a:hlinkClick r:id="rId3"/>
        </xdr:cNvPr>
        <xdr:cNvGrpSpPr>
          <a:grpSpLocks/>
        </xdr:cNvGrpSpPr>
      </xdr:nvGrpSpPr>
      <xdr:grpSpPr>
        <a:xfrm>
          <a:off x="3409950" y="2428875"/>
          <a:ext cx="1009650" cy="371475"/>
          <a:chOff x="1200" y="1912"/>
          <a:chExt cx="3456" cy="774"/>
        </a:xfrm>
        <a:solidFill>
          <a:srgbClr val="FFFFFF"/>
        </a:solidFill>
      </xdr:grpSpPr>
      <xdr:sp>
        <xdr:nvSpPr>
          <xdr:cNvPr id="5"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AutoShape 27"/>
          <xdr:cNvSpPr>
            <a:spLocks/>
          </xdr:cNvSpPr>
        </xdr:nvSpPr>
        <xdr:spPr>
          <a:xfrm>
            <a:off x="1265" y="1991"/>
            <a:ext cx="3293"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Finance</a:t>
            </a:r>
          </a:p>
        </xdr:txBody>
      </xdr:sp>
      <xdr:sp>
        <xdr:nvSpPr>
          <xdr:cNvPr id="7" name="Freeform 28"/>
          <xdr:cNvSpPr>
            <a:spLocks/>
          </xdr:cNvSpPr>
        </xdr:nvSpPr>
        <xdr:spPr>
          <a:xfrm>
            <a:off x="1298" y="2011"/>
            <a:ext cx="359"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8" name="Group 25">
          <a:hlinkClick r:id="rId4"/>
        </xdr:cNvPr>
        <xdr:cNvGrpSpPr>
          <a:grpSpLocks/>
        </xdr:cNvGrpSpPr>
      </xdr:nvGrpSpPr>
      <xdr:grpSpPr>
        <a:xfrm>
          <a:off x="3448050" y="3505200"/>
          <a:ext cx="1066800" cy="371475"/>
          <a:chOff x="1200" y="1912"/>
          <a:chExt cx="3456" cy="774"/>
        </a:xfrm>
        <a:solidFill>
          <a:srgbClr val="FFFFFF"/>
        </a:solidFill>
      </xdr:grpSpPr>
      <xdr:sp>
        <xdr:nvSpPr>
          <xdr:cNvPr id="9"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Programmatic</a:t>
            </a:r>
          </a:p>
        </xdr:txBody>
      </xdr:sp>
      <xdr:sp>
        <xdr:nvSpPr>
          <xdr:cNvPr id="11"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12" name="Group 25">
          <a:hlinkClick r:id="rId5"/>
        </xdr:cNvPr>
        <xdr:cNvGrpSpPr>
          <a:grpSpLocks/>
        </xdr:cNvGrpSpPr>
      </xdr:nvGrpSpPr>
      <xdr:grpSpPr>
        <a:xfrm>
          <a:off x="3409950" y="2962275"/>
          <a:ext cx="1066800" cy="371475"/>
          <a:chOff x="1200" y="1912"/>
          <a:chExt cx="3456" cy="774"/>
        </a:xfrm>
        <a:solidFill>
          <a:srgbClr val="FFFFFF"/>
        </a:solidFill>
      </xdr:grpSpPr>
      <xdr:sp>
        <xdr:nvSpPr>
          <xdr:cNvPr id="13"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Management</a:t>
            </a:r>
          </a:p>
        </xdr:txBody>
      </xdr:sp>
      <xdr:sp>
        <xdr:nvSpPr>
          <xdr:cNvPr id="15"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323850</xdr:colOff>
      <xdr:row>5</xdr:row>
      <xdr:rowOff>0</xdr:rowOff>
    </xdr:from>
    <xdr:to>
      <xdr:col>7</xdr:col>
      <xdr:colOff>400050</xdr:colOff>
      <xdr:row>6</xdr:row>
      <xdr:rowOff>47625</xdr:rowOff>
    </xdr:to>
    <xdr:sp>
      <xdr:nvSpPr>
        <xdr:cNvPr id="16" name="Rectangle 803"/>
        <xdr:cNvSpPr>
          <a:spLocks/>
        </xdr:cNvSpPr>
      </xdr:nvSpPr>
      <xdr:spPr>
        <a:xfrm>
          <a:off x="2686050" y="1428750"/>
          <a:ext cx="2362200" cy="238125"/>
        </a:xfrm>
        <a:prstGeom prst="rect">
          <a:avLst/>
        </a:prstGeom>
        <a:noFill/>
        <a:ln w="9525" cmpd="sng">
          <a:noFill/>
        </a:ln>
      </xdr:spPr>
      <xdr:txBody>
        <a:bodyPr vertOverflow="clip" wrap="square" lIns="27432" tIns="27432" rIns="27432" bIns="0"/>
        <a:p>
          <a:pPr algn="ctr">
            <a:defRPr/>
          </a:pPr>
          <a:r>
            <a:rPr lang="en-US" cap="none" sz="1100" b="1" i="1" u="none" baseline="0">
              <a:solidFill>
                <a:srgbClr val="000000"/>
              </a:solidFill>
              <a:latin typeface="Calibri"/>
              <a:ea typeface="Calibri"/>
              <a:cs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17" name="Group 832">
          <a:hlinkClick r:id="rId6"/>
        </xdr:cNvPr>
        <xdr:cNvGrpSpPr>
          <a:grpSpLocks/>
        </xdr:cNvGrpSpPr>
      </xdr:nvGrpSpPr>
      <xdr:grpSpPr>
        <a:xfrm>
          <a:off x="5705475" y="2571750"/>
          <a:ext cx="1504950" cy="409575"/>
          <a:chOff x="599" y="262"/>
          <a:chExt cx="158" cy="43"/>
        </a:xfrm>
        <a:solidFill>
          <a:srgbClr val="FFFFFF"/>
        </a:solidFill>
      </xdr:grpSpPr>
      <xdr:sp>
        <xdr:nvSpPr>
          <xdr:cNvPr id="18" name="AutoShape 30"/>
          <xdr:cNvSpPr>
            <a:spLocks/>
          </xdr:cNvSpPr>
        </xdr:nvSpPr>
        <xdr:spPr>
          <a:xfrm>
            <a:off x="599" y="262"/>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9" name="13 Grupo"/>
          <xdr:cNvGrpSpPr>
            <a:grpSpLocks/>
          </xdr:cNvGrpSpPr>
        </xdr:nvGrpSpPr>
        <xdr:grpSpPr>
          <a:xfrm>
            <a:off x="603" y="267"/>
            <a:ext cx="151" cy="35"/>
            <a:chOff x="1104968" y="2771552"/>
            <a:chExt cx="3605494" cy="566957"/>
          </a:xfrm>
          <a:solidFill>
            <a:srgbClr val="FFFFFF"/>
          </a:solidFill>
        </xdr:grpSpPr>
        <xdr:sp>
          <xdr:nvSpPr>
            <xdr:cNvPr id="20" name="AutoShape 31"/>
            <xdr:cNvSpPr>
              <a:spLocks/>
            </xdr:cNvSpPr>
          </xdr:nvSpPr>
          <xdr:spPr>
            <a:xfrm>
              <a:off x="1104968" y="2771552"/>
              <a:ext cx="3605494" cy="566957"/>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Recommendations</a:t>
              </a:r>
            </a:p>
          </xdr:txBody>
        </xdr:sp>
        <xdr:sp>
          <xdr:nvSpPr>
            <xdr:cNvPr id="21" name="Freeform 32"/>
            <xdr:cNvSpPr>
              <a:spLocks/>
            </xdr:cNvSpPr>
          </xdr:nvSpPr>
          <xdr:spPr>
            <a:xfrm>
              <a:off x="1159050" y="2809822"/>
              <a:ext cx="357845" cy="291132"/>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22" name="Group 830"/>
        <xdr:cNvGrpSpPr>
          <a:grpSpLocks/>
        </xdr:cNvGrpSpPr>
      </xdr:nvGrpSpPr>
      <xdr:grpSpPr>
        <a:xfrm>
          <a:off x="323850" y="1895475"/>
          <a:ext cx="2143125" cy="2124075"/>
          <a:chOff x="32" y="188"/>
          <a:chExt cx="225" cy="225"/>
        </a:xfrm>
        <a:solidFill>
          <a:srgbClr val="FFFFFF"/>
        </a:solidFill>
      </xdr:grpSpPr>
      <xdr:sp>
        <xdr:nvSpPr>
          <xdr:cNvPr id="23" name="AutoShape 31"/>
          <xdr:cNvSpPr>
            <a:spLocks/>
          </xdr:cNvSpPr>
        </xdr:nvSpPr>
        <xdr:spPr>
          <a:xfrm>
            <a:off x="32" y="188"/>
            <a:ext cx="225" cy="225"/>
          </a:xfrm>
          <a:prstGeom prst="roundRect">
            <a:avLst/>
          </a:prstGeom>
          <a:gradFill rotWithShape="1">
            <a:gsLst>
              <a:gs pos="0">
                <a:srgbClr val="87AFD3"/>
              </a:gs>
              <a:gs pos="100000">
                <a:srgbClr val="4C7BB4"/>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Freeform 32"/>
          <xdr:cNvSpPr>
            <a:spLocks/>
          </xdr:cNvSpPr>
        </xdr:nvSpPr>
        <xdr:spPr>
          <a:xfrm>
            <a:off x="42" y="197"/>
            <a:ext cx="50" cy="33"/>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25" name="Group 826"/>
        <xdr:cNvGrpSpPr>
          <a:grpSpLocks/>
        </xdr:cNvGrpSpPr>
      </xdr:nvGrpSpPr>
      <xdr:grpSpPr>
        <a:xfrm>
          <a:off x="5695950" y="3200400"/>
          <a:ext cx="1504950" cy="409575"/>
          <a:chOff x="578" y="328"/>
          <a:chExt cx="158" cy="43"/>
        </a:xfrm>
        <a:solidFill>
          <a:srgbClr val="FFFFFF"/>
        </a:solidFill>
      </xdr:grpSpPr>
      <xdr:sp>
        <xdr:nvSpPr>
          <xdr:cNvPr id="26" name="AutoShape 30"/>
          <xdr:cNvSpPr>
            <a:spLocks/>
          </xdr:cNvSpPr>
        </xdr:nvSpPr>
        <xdr:spPr>
          <a:xfrm>
            <a:off x="578" y="328"/>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27" name="Group 823"/>
          <xdr:cNvGrpSpPr>
            <a:grpSpLocks/>
          </xdr:cNvGrpSpPr>
        </xdr:nvGrpSpPr>
        <xdr:grpSpPr>
          <a:xfrm>
            <a:off x="581" y="333"/>
            <a:ext cx="151" cy="35"/>
            <a:chOff x="582" y="333"/>
            <a:chExt cx="151" cy="35"/>
          </a:xfrm>
          <a:solidFill>
            <a:srgbClr val="FFFFFF"/>
          </a:solidFill>
        </xdr:grpSpPr>
        <xdr:sp>
          <xdr:nvSpPr>
            <xdr:cNvPr id="28" name="AutoShape 31">
              <a:hlinkClick r:id="rId7"/>
            </xdr:cNvPr>
            <xdr:cNvSpPr>
              <a:spLocks/>
            </xdr:cNvSpPr>
          </xdr:nvSpPr>
          <xdr:spPr>
            <a:xfrm>
              <a:off x="582" y="333"/>
              <a:ext cx="151" cy="35"/>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Actions</a:t>
              </a:r>
            </a:p>
          </xdr:txBody>
        </xdr:sp>
        <xdr:sp>
          <xdr:nvSpPr>
            <xdr:cNvPr id="29" name="Freeform 32"/>
            <xdr:cNvSpPr>
              <a:spLocks/>
            </xdr:cNvSpPr>
          </xdr:nvSpPr>
          <xdr:spPr>
            <a:xfrm>
              <a:off x="584" y="335"/>
              <a:ext cx="15" cy="18"/>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15</xdr:row>
      <xdr:rowOff>133350</xdr:rowOff>
    </xdr:from>
    <xdr:to>
      <xdr:col>3</xdr:col>
      <xdr:colOff>495300</xdr:colOff>
      <xdr:row>17</xdr:row>
      <xdr:rowOff>104775</xdr:rowOff>
    </xdr:to>
    <xdr:grpSp>
      <xdr:nvGrpSpPr>
        <xdr:cNvPr id="30" name="Group 831">
          <a:hlinkClick r:id="rId8"/>
        </xdr:cNvPr>
        <xdr:cNvGrpSpPr>
          <a:grpSpLocks/>
        </xdr:cNvGrpSpPr>
      </xdr:nvGrpSpPr>
      <xdr:grpSpPr>
        <a:xfrm>
          <a:off x="590550" y="3467100"/>
          <a:ext cx="1504950" cy="352425"/>
          <a:chOff x="56" y="259"/>
          <a:chExt cx="158" cy="40"/>
        </a:xfrm>
        <a:solidFill>
          <a:srgbClr val="FFFFFF"/>
        </a:solidFill>
      </xdr:grpSpPr>
      <xdr:sp>
        <xdr:nvSpPr>
          <xdr:cNvPr id="31" name="AutoShape 30"/>
          <xdr:cNvSpPr>
            <a:spLocks/>
          </xdr:cNvSpPr>
        </xdr:nvSpPr>
        <xdr:spPr>
          <a:xfrm>
            <a:off x="56" y="259"/>
            <a:ext cx="158" cy="40"/>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2" name="11 Grupo"/>
          <xdr:cNvGrpSpPr>
            <a:grpSpLocks/>
          </xdr:cNvGrpSpPr>
        </xdr:nvGrpSpPr>
        <xdr:grpSpPr>
          <a:xfrm>
            <a:off x="60" y="263"/>
            <a:ext cx="151" cy="32"/>
            <a:chOff x="1104968" y="2771584"/>
            <a:chExt cx="3605494" cy="566957"/>
          </a:xfrm>
          <a:solidFill>
            <a:srgbClr val="FFFFFF"/>
          </a:solidFill>
        </xdr:grpSpPr>
        <xdr:sp>
          <xdr:nvSpPr>
            <xdr:cNvPr id="33" name="AutoShape 31"/>
            <xdr:cNvSpPr>
              <a:spLocks/>
            </xdr:cNvSpPr>
          </xdr:nvSpPr>
          <xdr:spPr>
            <a:xfrm>
              <a:off x="1104968" y="2815665"/>
              <a:ext cx="3605494" cy="555476"/>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Grant Detail</a:t>
              </a:r>
            </a:p>
          </xdr:txBody>
        </xdr:sp>
        <xdr:sp>
          <xdr:nvSpPr>
            <xdr:cNvPr id="34" name="Freeform 32"/>
            <xdr:cNvSpPr>
              <a:spLocks/>
            </xdr:cNvSpPr>
          </xdr:nvSpPr>
          <xdr:spPr>
            <a:xfrm>
              <a:off x="1152741" y="2853935"/>
              <a:ext cx="357845" cy="249036"/>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35" name="37 Grupo">
          <a:hlinkClick r:id="rId9"/>
        </xdr:cNvPr>
        <xdr:cNvGrpSpPr>
          <a:grpSpLocks/>
        </xdr:cNvGrpSpPr>
      </xdr:nvGrpSpPr>
      <xdr:grpSpPr>
        <a:xfrm>
          <a:off x="590550" y="2409825"/>
          <a:ext cx="1504950" cy="371475"/>
          <a:chOff x="1343025" y="2428876"/>
          <a:chExt cx="3240982" cy="617274"/>
        </a:xfrm>
        <a:solidFill>
          <a:srgbClr val="FFFFFF"/>
        </a:solidFill>
      </xdr:grpSpPr>
      <xdr:sp>
        <xdr:nvSpPr>
          <xdr:cNvPr id="36"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7" name="13 Grupo"/>
          <xdr:cNvGrpSpPr>
            <a:grpSpLocks/>
          </xdr:cNvGrpSpPr>
        </xdr:nvGrpSpPr>
        <xdr:grpSpPr>
          <a:xfrm>
            <a:off x="1419188" y="2495387"/>
            <a:ext cx="3098379" cy="503387"/>
            <a:chOff x="1104968" y="2771552"/>
            <a:chExt cx="3605494" cy="566957"/>
          </a:xfrm>
          <a:solidFill>
            <a:srgbClr val="FFFFFF"/>
          </a:solidFill>
        </xdr:grpSpPr>
        <xdr:sp>
          <xdr:nvSpPr>
            <xdr:cNvPr id="38"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List of Indicators</a:t>
              </a:r>
            </a:p>
          </xdr:txBody>
        </xdr:sp>
        <xdr:sp>
          <xdr:nvSpPr>
            <xdr:cNvPr id="39" name="Freeform 32"/>
            <xdr:cNvSpPr>
              <a:spLocks/>
            </xdr:cNvSpPr>
          </xdr:nvSpPr>
          <xdr:spPr>
            <a:xfrm>
              <a:off x="1159050" y="2803585"/>
              <a:ext cx="357845" cy="303039"/>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40" name="37 Grupo">
          <a:hlinkClick r:id="rId10"/>
        </xdr:cNvPr>
        <xdr:cNvGrpSpPr>
          <a:grpSpLocks/>
        </xdr:cNvGrpSpPr>
      </xdr:nvGrpSpPr>
      <xdr:grpSpPr>
        <a:xfrm>
          <a:off x="590550" y="2943225"/>
          <a:ext cx="1504950" cy="371475"/>
          <a:chOff x="1343025" y="2428876"/>
          <a:chExt cx="3240982" cy="617274"/>
        </a:xfrm>
        <a:solidFill>
          <a:srgbClr val="FFFFFF"/>
        </a:solidFill>
      </xdr:grpSpPr>
      <xdr:sp>
        <xdr:nvSpPr>
          <xdr:cNvPr id="41"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42" name="13 Grupo"/>
          <xdr:cNvGrpSpPr>
            <a:grpSpLocks/>
          </xdr:cNvGrpSpPr>
        </xdr:nvGrpSpPr>
        <xdr:grpSpPr>
          <a:xfrm>
            <a:off x="1419188" y="2495387"/>
            <a:ext cx="3098379" cy="503387"/>
            <a:chOff x="1104968" y="2771552"/>
            <a:chExt cx="3605494" cy="566957"/>
          </a:xfrm>
          <a:solidFill>
            <a:srgbClr val="FFFFFF"/>
          </a:solidFill>
        </xdr:grpSpPr>
        <xdr:sp>
          <xdr:nvSpPr>
            <xdr:cNvPr id="43"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Data Entry</a:t>
              </a:r>
            </a:p>
          </xdr:txBody>
        </xdr:sp>
        <xdr:sp>
          <xdr:nvSpPr>
            <xdr:cNvPr id="44" name="Freeform 32"/>
            <xdr:cNvSpPr>
              <a:spLocks/>
            </xdr:cNvSpPr>
          </xdr:nvSpPr>
          <xdr:spPr>
            <a:xfrm>
              <a:off x="1159050" y="2803585"/>
              <a:ext cx="357845" cy="303039"/>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45" name="Picture 2012"/>
        <xdr:cNvPicPr preferRelativeResize="1">
          <a:picLocks noChangeAspect="1"/>
        </xdr:cNvPicPr>
      </xdr:nvPicPr>
      <xdr:blipFill>
        <a:blip r:embed="rId11"/>
        <a:stretch>
          <a:fillRect/>
        </a:stretch>
      </xdr:blipFill>
      <xdr:spPr>
        <a:xfrm>
          <a:off x="333375" y="1876425"/>
          <a:ext cx="2133600" cy="447675"/>
        </a:xfrm>
        <a:prstGeom prst="rect">
          <a:avLst/>
        </a:prstGeom>
        <a:noFill/>
        <a:ln w="9525" cmpd="sng">
          <a:noFill/>
        </a:ln>
      </xdr:spPr>
    </xdr:pic>
    <xdr:clientData/>
  </xdr:twoCellAnchor>
  <xdr:oneCellAnchor>
    <xdr:from>
      <xdr:col>1</xdr:col>
      <xdr:colOff>352425</xdr:colOff>
      <xdr:row>7</xdr:row>
      <xdr:rowOff>85725</xdr:rowOff>
    </xdr:from>
    <xdr:ext cx="1990725" cy="400050"/>
    <xdr:sp>
      <xdr:nvSpPr>
        <xdr:cNvPr id="46" name="Text Box 2013"/>
        <xdr:cNvSpPr txBox="1">
          <a:spLocks noChangeArrowheads="1"/>
        </xdr:cNvSpPr>
      </xdr:nvSpPr>
      <xdr:spPr>
        <a:xfrm>
          <a:off x="428625" y="1895475"/>
          <a:ext cx="1990725" cy="40005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Grant Information</a:t>
          </a:r>
          <a:r>
            <a:rPr lang="en-US" cap="none" sz="1800" b="0" i="0" u="none" baseline="0">
              <a:solidFill>
                <a:srgbClr val="000000"/>
              </a:solidFill>
              <a:latin typeface="Arial"/>
              <a:ea typeface="Arial"/>
              <a:cs typeface="Arial"/>
            </a:rPr>
            <a:t>
</a:t>
          </a:r>
        </a:p>
      </xdr:txBody>
    </xdr:sp>
    <xdr:clientData/>
  </xdr:oneCellAnchor>
  <xdr:twoCellAnchor editAs="oneCell">
    <xdr:from>
      <xdr:col>4</xdr:col>
      <xdr:colOff>247650</xdr:colOff>
      <xdr:row>7</xdr:row>
      <xdr:rowOff>66675</xdr:rowOff>
    </xdr:from>
    <xdr:to>
      <xdr:col>7</xdr:col>
      <xdr:colOff>561975</xdr:colOff>
      <xdr:row>9</xdr:row>
      <xdr:rowOff>133350</xdr:rowOff>
    </xdr:to>
    <xdr:pic>
      <xdr:nvPicPr>
        <xdr:cNvPr id="47" name="Picture 2016"/>
        <xdr:cNvPicPr preferRelativeResize="1">
          <a:picLocks noChangeAspect="1"/>
        </xdr:cNvPicPr>
      </xdr:nvPicPr>
      <xdr:blipFill>
        <a:blip r:embed="rId12"/>
        <a:stretch>
          <a:fillRect/>
        </a:stretch>
      </xdr:blipFill>
      <xdr:spPr>
        <a:xfrm>
          <a:off x="2609850" y="1876425"/>
          <a:ext cx="2600325" cy="447675"/>
        </a:xfrm>
        <a:prstGeom prst="rect">
          <a:avLst/>
        </a:prstGeom>
        <a:noFill/>
        <a:ln w="9525" cmpd="sng">
          <a:noFill/>
        </a:ln>
      </xdr:spPr>
    </xdr:pic>
    <xdr:clientData/>
  </xdr:twoCellAnchor>
  <xdr:oneCellAnchor>
    <xdr:from>
      <xdr:col>4</xdr:col>
      <xdr:colOff>590550</xdr:colOff>
      <xdr:row>7</xdr:row>
      <xdr:rowOff>104775</xdr:rowOff>
    </xdr:from>
    <xdr:ext cx="1990725" cy="381000"/>
    <xdr:sp>
      <xdr:nvSpPr>
        <xdr:cNvPr id="48" name="Text Box 2017"/>
        <xdr:cNvSpPr txBox="1">
          <a:spLocks noChangeArrowheads="1"/>
        </xdr:cNvSpPr>
      </xdr:nvSpPr>
      <xdr:spPr>
        <a:xfrm>
          <a:off x="2952750" y="1914525"/>
          <a:ext cx="1990725" cy="38100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Indicators</a:t>
          </a:r>
          <a:r>
            <a:rPr lang="en-US" cap="none" sz="1800" b="0" i="0" u="none" baseline="0">
              <a:solidFill>
                <a:srgbClr val="000000"/>
              </a:solidFill>
              <a:latin typeface="Arial"/>
              <a:ea typeface="Arial"/>
              <a:cs typeface="Arial"/>
            </a:rPr>
            <a:t>
</a:t>
          </a:r>
        </a:p>
      </xdr:txBody>
    </xdr:sp>
    <xdr:clientData/>
  </xdr:oneCellAnchor>
  <xdr:twoCellAnchor editAs="oneCell">
    <xdr:from>
      <xdr:col>7</xdr:col>
      <xdr:colOff>733425</xdr:colOff>
      <xdr:row>7</xdr:row>
      <xdr:rowOff>76200</xdr:rowOff>
    </xdr:from>
    <xdr:to>
      <xdr:col>11</xdr:col>
      <xdr:colOff>495300</xdr:colOff>
      <xdr:row>9</xdr:row>
      <xdr:rowOff>133350</xdr:rowOff>
    </xdr:to>
    <xdr:pic>
      <xdr:nvPicPr>
        <xdr:cNvPr id="49" name="Picture 2018"/>
        <xdr:cNvPicPr preferRelativeResize="1">
          <a:picLocks noChangeAspect="1"/>
        </xdr:cNvPicPr>
      </xdr:nvPicPr>
      <xdr:blipFill>
        <a:blip r:embed="rId13"/>
        <a:stretch>
          <a:fillRect/>
        </a:stretch>
      </xdr:blipFill>
      <xdr:spPr>
        <a:xfrm>
          <a:off x="5381625" y="1885950"/>
          <a:ext cx="2162175" cy="438150"/>
        </a:xfrm>
        <a:prstGeom prst="rect">
          <a:avLst/>
        </a:prstGeom>
        <a:noFill/>
        <a:ln w="9525" cmpd="sng">
          <a:noFill/>
        </a:ln>
      </xdr:spPr>
    </xdr:pic>
    <xdr:clientData/>
  </xdr:twoCellAnchor>
  <xdr:oneCellAnchor>
    <xdr:from>
      <xdr:col>8</xdr:col>
      <xdr:colOff>57150</xdr:colOff>
      <xdr:row>7</xdr:row>
      <xdr:rowOff>104775</xdr:rowOff>
    </xdr:from>
    <xdr:ext cx="1990725" cy="381000"/>
    <xdr:sp>
      <xdr:nvSpPr>
        <xdr:cNvPr id="50" name="Text Box 2019"/>
        <xdr:cNvSpPr txBox="1">
          <a:spLocks noChangeArrowheads="1"/>
        </xdr:cNvSpPr>
      </xdr:nvSpPr>
      <xdr:spPr>
        <a:xfrm>
          <a:off x="5467350" y="1914525"/>
          <a:ext cx="1990725" cy="38100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Reports</a:t>
          </a:r>
          <a:r>
            <a:rPr lang="en-US" cap="none" sz="1800" b="0" i="0" u="none" baseline="0">
              <a:solidFill>
                <a:srgbClr val="000000"/>
              </a:solidFill>
              <a:latin typeface="Arial"/>
              <a:ea typeface="Arial"/>
              <a:cs typeface="Arial"/>
            </a:rPr>
            <a:t>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66675</xdr:rowOff>
    </xdr:from>
    <xdr:to>
      <xdr:col>1</xdr:col>
      <xdr:colOff>123825</xdr:colOff>
      <xdr:row>4</xdr:row>
      <xdr:rowOff>85725</xdr:rowOff>
    </xdr:to>
    <xdr:pic>
      <xdr:nvPicPr>
        <xdr:cNvPr id="1" name="Picture 2" descr="C:\Documents and Settings\Administrator\My Documents\My Pictures\Prueba.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42875" y="257175"/>
          <a:ext cx="7429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1123950</xdr:colOff>
      <xdr:row>1</xdr:row>
      <xdr:rowOff>0</xdr:rowOff>
    </xdr:to>
    <xdr:sp>
      <xdr:nvSpPr>
        <xdr:cNvPr id="1" name="AutoShape 50">
          <a:hlinkClick r:id="rId1"/>
        </xdr:cNvPr>
        <xdr:cNvSpPr>
          <a:spLocks/>
        </xdr:cNvSpPr>
      </xdr:nvSpPr>
      <xdr:spPr>
        <a:xfrm>
          <a:off x="28575" y="28575"/>
          <a:ext cx="1276350" cy="4095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1</xdr:col>
      <xdr:colOff>942975</xdr:colOff>
      <xdr:row>1</xdr:row>
      <xdr:rowOff>9525</xdr:rowOff>
    </xdr:to>
    <xdr:sp>
      <xdr:nvSpPr>
        <xdr:cNvPr id="1" name="AutoShape 50">
          <a:hlinkClick r:id="rId1"/>
        </xdr:cNvPr>
        <xdr:cNvSpPr>
          <a:spLocks/>
        </xdr:cNvSpPr>
      </xdr:nvSpPr>
      <xdr:spPr>
        <a:xfrm>
          <a:off x="47625" y="0"/>
          <a:ext cx="1076325" cy="3810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sp>
      <xdr:nvSpPr>
        <xdr:cNvPr id="2" name="AutoShape 100"/>
        <xdr:cNvSpPr>
          <a:spLocks/>
        </xdr:cNvSpPr>
      </xdr:nvSpPr>
      <xdr:spPr>
        <a:xfrm rot="5400000">
          <a:off x="9324975" y="5391150"/>
          <a:ext cx="0" cy="235267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46</xdr:row>
      <xdr:rowOff>104775</xdr:rowOff>
    </xdr:from>
    <xdr:to>
      <xdr:col>4</xdr:col>
      <xdr:colOff>1057275</xdr:colOff>
      <xdr:row>46</xdr:row>
      <xdr:rowOff>104775</xdr:rowOff>
    </xdr:to>
    <xdr:sp>
      <xdr:nvSpPr>
        <xdr:cNvPr id="3" name="AutoShape 101"/>
        <xdr:cNvSpPr>
          <a:spLocks/>
        </xdr:cNvSpPr>
      </xdr:nvSpPr>
      <xdr:spPr>
        <a:xfrm rot="10800000">
          <a:off x="6067425" y="7886700"/>
          <a:ext cx="1057275"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0</xdr:rowOff>
    </xdr:from>
    <xdr:to>
      <xdr:col>0</xdr:col>
      <xdr:colOff>1181100</xdr:colOff>
      <xdr:row>2</xdr:row>
      <xdr:rowOff>447675</xdr:rowOff>
    </xdr:to>
    <xdr:sp>
      <xdr:nvSpPr>
        <xdr:cNvPr id="1" name="Rectangle 117">
          <a:hlinkClick r:id="rId1"/>
        </xdr:cNvPr>
        <xdr:cNvSpPr>
          <a:spLocks/>
        </xdr:cNvSpPr>
      </xdr:nvSpPr>
      <xdr:spPr>
        <a:xfrm>
          <a:off x="200025" y="590550"/>
          <a:ext cx="981075" cy="447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xdr:nvSpPr>
        <xdr:cNvPr id="2" name="AutoShape 50">
          <a:hlinkClick r:id="rId2"/>
        </xdr:cNvPr>
        <xdr:cNvSpPr>
          <a:spLocks/>
        </xdr:cNvSpPr>
      </xdr:nvSpPr>
      <xdr:spPr>
        <a:xfrm>
          <a:off x="38100" y="19050"/>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104775</xdr:rowOff>
    </xdr:from>
    <xdr:to>
      <xdr:col>6</xdr:col>
      <xdr:colOff>19050</xdr:colOff>
      <xdr:row>20</xdr:row>
      <xdr:rowOff>180975</xdr:rowOff>
    </xdr:to>
    <xdr:graphicFrame>
      <xdr:nvGraphicFramePr>
        <xdr:cNvPr id="1" name="Chart 32"/>
        <xdr:cNvGraphicFramePr/>
      </xdr:nvGraphicFramePr>
      <xdr:xfrm>
        <a:off x="257175" y="2219325"/>
        <a:ext cx="3638550" cy="21717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0</xdr:row>
      <xdr:rowOff>28575</xdr:rowOff>
    </xdr:from>
    <xdr:to>
      <xdr:col>2</xdr:col>
      <xdr:colOff>0</xdr:colOff>
      <xdr:row>0</xdr:row>
      <xdr:rowOff>361950</xdr:rowOff>
    </xdr:to>
    <xdr:sp>
      <xdr:nvSpPr>
        <xdr:cNvPr id="2" name="AutoShape 50">
          <a:hlinkClick r:id="rId2"/>
        </xdr:cNvPr>
        <xdr:cNvSpPr>
          <a:spLocks/>
        </xdr:cNvSpPr>
      </xdr:nvSpPr>
      <xdr:spPr>
        <a:xfrm>
          <a:off x="38100" y="28575"/>
          <a:ext cx="952500"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28575</xdr:colOff>
      <xdr:row>9</xdr:row>
      <xdr:rowOff>66675</xdr:rowOff>
    </xdr:from>
    <xdr:to>
      <xdr:col>11</xdr:col>
      <xdr:colOff>0</xdr:colOff>
      <xdr:row>21</xdr:row>
      <xdr:rowOff>9525</xdr:rowOff>
    </xdr:to>
    <xdr:grpSp>
      <xdr:nvGrpSpPr>
        <xdr:cNvPr id="3" name="Group 489"/>
        <xdr:cNvGrpSpPr>
          <a:grpSpLocks/>
        </xdr:cNvGrpSpPr>
      </xdr:nvGrpSpPr>
      <xdr:grpSpPr>
        <a:xfrm>
          <a:off x="3905250" y="2181225"/>
          <a:ext cx="3486150" cy="2228850"/>
          <a:chOff x="410" y="229"/>
          <a:chExt cx="366" cy="234"/>
        </a:xfrm>
        <a:solidFill>
          <a:srgbClr val="FFFFFF"/>
        </a:solidFill>
      </xdr:grpSpPr>
      <xdr:graphicFrame>
        <xdr:nvGraphicFramePr>
          <xdr:cNvPr id="4" name="Chart 31"/>
          <xdr:cNvGraphicFramePr/>
        </xdr:nvGraphicFramePr>
        <xdr:xfrm>
          <a:off x="410" y="229"/>
          <a:ext cx="366" cy="231"/>
        </xdr:xfrm>
        <a:graphic>
          <a:graphicData uri="http://schemas.openxmlformats.org/drawingml/2006/chart">
            <c:chart xmlns:c="http://schemas.openxmlformats.org/drawingml/2006/chart" r:id="rId3"/>
          </a:graphicData>
        </a:graphic>
      </xdr:graphicFrame>
      <xdr:pic>
        <xdr:nvPicPr>
          <xdr:cNvPr id="5" name="Picture 477" descr="one"/>
          <xdr:cNvPicPr preferRelativeResize="1">
            <a:picLocks noChangeAspect="1"/>
          </xdr:cNvPicPr>
        </xdr:nvPicPr>
        <xdr:blipFill>
          <a:blip r:embed="rId4"/>
          <a:stretch>
            <a:fillRect/>
          </a:stretch>
        </xdr:blipFill>
        <xdr:spPr>
          <a:xfrm>
            <a:off x="456" y="441"/>
            <a:ext cx="297" cy="22"/>
          </a:xfrm>
          <a:prstGeom prst="rect">
            <a:avLst/>
          </a:prstGeom>
          <a:noFill/>
          <a:ln w="9525" cmpd="sng">
            <a:noFill/>
          </a:ln>
        </xdr:spPr>
      </xdr:pic>
    </xdr:grpSp>
    <xdr:clientData/>
  </xdr:twoCellAnchor>
  <xdr:twoCellAnchor>
    <xdr:from>
      <xdr:col>0</xdr:col>
      <xdr:colOff>0</xdr:colOff>
      <xdr:row>23</xdr:row>
      <xdr:rowOff>0</xdr:rowOff>
    </xdr:from>
    <xdr:to>
      <xdr:col>6</xdr:col>
      <xdr:colOff>0</xdr:colOff>
      <xdr:row>32</xdr:row>
      <xdr:rowOff>47625</xdr:rowOff>
    </xdr:to>
    <xdr:grpSp>
      <xdr:nvGrpSpPr>
        <xdr:cNvPr id="6" name="Group 490"/>
        <xdr:cNvGrpSpPr>
          <a:grpSpLocks/>
        </xdr:cNvGrpSpPr>
      </xdr:nvGrpSpPr>
      <xdr:grpSpPr>
        <a:xfrm>
          <a:off x="0" y="4810125"/>
          <a:ext cx="3876675" cy="2324100"/>
          <a:chOff x="0" y="505"/>
          <a:chExt cx="407" cy="245"/>
        </a:xfrm>
        <a:solidFill>
          <a:srgbClr val="FFFFFF"/>
        </a:solidFill>
      </xdr:grpSpPr>
      <xdr:graphicFrame>
        <xdr:nvGraphicFramePr>
          <xdr:cNvPr id="7" name="Chart 34"/>
          <xdr:cNvGraphicFramePr/>
        </xdr:nvGraphicFramePr>
        <xdr:xfrm>
          <a:off x="0" y="505"/>
          <a:ext cx="407" cy="245"/>
        </xdr:xfrm>
        <a:graphic>
          <a:graphicData uri="http://schemas.openxmlformats.org/drawingml/2006/chart">
            <c:chart xmlns:c="http://schemas.openxmlformats.org/drawingml/2006/chart" r:id="rId5"/>
          </a:graphicData>
        </a:graphic>
      </xdr:graphicFrame>
      <xdr:pic>
        <xdr:nvPicPr>
          <xdr:cNvPr id="8" name="Picture 487" descr="ok"/>
          <xdr:cNvPicPr preferRelativeResize="1">
            <a:picLocks noChangeAspect="1"/>
          </xdr:cNvPicPr>
        </xdr:nvPicPr>
        <xdr:blipFill>
          <a:blip r:embed="rId6"/>
          <a:stretch>
            <a:fillRect/>
          </a:stretch>
        </xdr:blipFill>
        <xdr:spPr>
          <a:xfrm>
            <a:off x="86" y="708"/>
            <a:ext cx="259" cy="22"/>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xdr:row>
      <xdr:rowOff>171450</xdr:rowOff>
    </xdr:from>
    <xdr:to>
      <xdr:col>12</xdr:col>
      <xdr:colOff>238125</xdr:colOff>
      <xdr:row>14</xdr:row>
      <xdr:rowOff>152400</xdr:rowOff>
    </xdr:to>
    <xdr:graphicFrame>
      <xdr:nvGraphicFramePr>
        <xdr:cNvPr id="1" name="Chart 1034"/>
        <xdr:cNvGraphicFramePr/>
      </xdr:nvGraphicFramePr>
      <xdr:xfrm>
        <a:off x="4800600" y="1933575"/>
        <a:ext cx="4495800" cy="131445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xdr:nvGraphicFramePr>
        <xdr:cNvPr id="2" name="Chart 1039"/>
        <xdr:cNvGraphicFramePr/>
      </xdr:nvGraphicFramePr>
      <xdr:xfrm>
        <a:off x="285750" y="3638550"/>
        <a:ext cx="4057650" cy="1743075"/>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8</xdr:row>
      <xdr:rowOff>19050</xdr:rowOff>
    </xdr:from>
    <xdr:to>
      <xdr:col>5</xdr:col>
      <xdr:colOff>1095375</xdr:colOff>
      <xdr:row>14</xdr:row>
      <xdr:rowOff>66675</xdr:rowOff>
    </xdr:to>
    <xdr:graphicFrame>
      <xdr:nvGraphicFramePr>
        <xdr:cNvPr id="3" name="Chart 1046"/>
        <xdr:cNvGraphicFramePr/>
      </xdr:nvGraphicFramePr>
      <xdr:xfrm>
        <a:off x="314325" y="1971675"/>
        <a:ext cx="4162425" cy="1190625"/>
      </xdr:xfrm>
      <a:graphic>
        <a:graphicData uri="http://schemas.openxmlformats.org/drawingml/2006/chart">
          <c:chart xmlns:c="http://schemas.openxmlformats.org/drawingml/2006/chart" r:id="rId3"/>
        </a:graphicData>
      </a:graphic>
    </xdr:graphicFrame>
    <xdr:clientData/>
  </xdr:twoCellAnchor>
  <xdr:twoCellAnchor>
    <xdr:from>
      <xdr:col>7</xdr:col>
      <xdr:colOff>38100</xdr:colOff>
      <xdr:row>16</xdr:row>
      <xdr:rowOff>19050</xdr:rowOff>
    </xdr:from>
    <xdr:to>
      <xdr:col>12</xdr:col>
      <xdr:colOff>180975</xdr:colOff>
      <xdr:row>25</xdr:row>
      <xdr:rowOff>28575</xdr:rowOff>
    </xdr:to>
    <xdr:graphicFrame>
      <xdr:nvGraphicFramePr>
        <xdr:cNvPr id="4" name="Chart 1054"/>
        <xdr:cNvGraphicFramePr/>
      </xdr:nvGraphicFramePr>
      <xdr:xfrm>
        <a:off x="4810125" y="3657600"/>
        <a:ext cx="4429125" cy="1724025"/>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27</xdr:row>
      <xdr:rowOff>47625</xdr:rowOff>
    </xdr:from>
    <xdr:to>
      <xdr:col>5</xdr:col>
      <xdr:colOff>657225</xdr:colOff>
      <xdr:row>33</xdr:row>
      <xdr:rowOff>247650</xdr:rowOff>
    </xdr:to>
    <xdr:graphicFrame>
      <xdr:nvGraphicFramePr>
        <xdr:cNvPr id="5" name="Chart 1091"/>
        <xdr:cNvGraphicFramePr/>
      </xdr:nvGraphicFramePr>
      <xdr:xfrm>
        <a:off x="209550" y="5781675"/>
        <a:ext cx="3829050" cy="173355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0</xdr:row>
      <xdr:rowOff>19050</xdr:rowOff>
    </xdr:from>
    <xdr:to>
      <xdr:col>2</xdr:col>
      <xdr:colOff>0</xdr:colOff>
      <xdr:row>0</xdr:row>
      <xdr:rowOff>352425</xdr:rowOff>
    </xdr:to>
    <xdr:sp>
      <xdr:nvSpPr>
        <xdr:cNvPr id="6" name="AutoShape 50">
          <a:hlinkClick r:id="rId6"/>
        </xdr:cNvPr>
        <xdr:cNvSpPr>
          <a:spLocks/>
        </xdr:cNvSpPr>
      </xdr:nvSpPr>
      <xdr:spPr>
        <a:xfrm>
          <a:off x="47625" y="19050"/>
          <a:ext cx="86677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9</xdr:row>
      <xdr:rowOff>47625</xdr:rowOff>
    </xdr:from>
    <xdr:to>
      <xdr:col>11</xdr:col>
      <xdr:colOff>47625</xdr:colOff>
      <xdr:row>17</xdr:row>
      <xdr:rowOff>0</xdr:rowOff>
    </xdr:to>
    <xdr:graphicFrame>
      <xdr:nvGraphicFramePr>
        <xdr:cNvPr id="1" name="Chart 33"/>
        <xdr:cNvGraphicFramePr/>
      </xdr:nvGraphicFramePr>
      <xdr:xfrm>
        <a:off x="3705225" y="2028825"/>
        <a:ext cx="2705100" cy="18383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1</xdr:col>
      <xdr:colOff>752475</xdr:colOff>
      <xdr:row>1</xdr:row>
      <xdr:rowOff>0</xdr:rowOff>
    </xdr:to>
    <xdr:sp>
      <xdr:nvSpPr>
        <xdr:cNvPr id="2" name="AutoShape 50">
          <a:hlinkClick r:id="rId2"/>
        </xdr:cNvPr>
        <xdr:cNvSpPr>
          <a:spLocks/>
        </xdr:cNvSpPr>
      </xdr:nvSpPr>
      <xdr:spPr>
        <a:xfrm>
          <a:off x="9525" y="0"/>
          <a:ext cx="7715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xdr:nvGraphicFramePr>
        <xdr:cNvPr id="3" name="Chart 488"/>
        <xdr:cNvGraphicFramePr/>
      </xdr:nvGraphicFramePr>
      <xdr:xfrm>
        <a:off x="6715125" y="2057400"/>
        <a:ext cx="2733675" cy="1819275"/>
      </xdr:xfrm>
      <a:graphic>
        <a:graphicData uri="http://schemas.openxmlformats.org/drawingml/2006/chart">
          <c:chart xmlns:c="http://schemas.openxmlformats.org/drawingml/2006/chart" r:id="rId3"/>
        </a:graphicData>
      </a:graphic>
    </xdr:graphicFrame>
    <xdr:clientData/>
  </xdr:twoCellAnchor>
  <xdr:twoCellAnchor>
    <xdr:from>
      <xdr:col>1</xdr:col>
      <xdr:colOff>666750</xdr:colOff>
      <xdr:row>9</xdr:row>
      <xdr:rowOff>95250</xdr:rowOff>
    </xdr:from>
    <xdr:to>
      <xdr:col>4</xdr:col>
      <xdr:colOff>400050</xdr:colOff>
      <xdr:row>17</xdr:row>
      <xdr:rowOff>57150</xdr:rowOff>
    </xdr:to>
    <xdr:graphicFrame>
      <xdr:nvGraphicFramePr>
        <xdr:cNvPr id="4" name="Chart 553"/>
        <xdr:cNvGraphicFramePr/>
      </xdr:nvGraphicFramePr>
      <xdr:xfrm>
        <a:off x="695325" y="2076450"/>
        <a:ext cx="2714625" cy="184785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20</xdr:row>
      <xdr:rowOff>0</xdr:rowOff>
    </xdr:from>
    <xdr:to>
      <xdr:col>8</xdr:col>
      <xdr:colOff>85725</xdr:colOff>
      <xdr:row>20</xdr:row>
      <xdr:rowOff>0</xdr:rowOff>
    </xdr:to>
    <xdr:grpSp>
      <xdr:nvGrpSpPr>
        <xdr:cNvPr id="1" name="Group 41"/>
        <xdr:cNvGrpSpPr>
          <a:grpSpLocks/>
        </xdr:cNvGrpSpPr>
      </xdr:nvGrpSpPr>
      <xdr:grpSpPr>
        <a:xfrm>
          <a:off x="5553075" y="5143500"/>
          <a:ext cx="85725" cy="0"/>
          <a:chOff x="595" y="540"/>
          <a:chExt cx="9" cy="9"/>
        </a:xfrm>
        <a:solidFill>
          <a:srgbClr val="FFFFFF"/>
        </a:solidFill>
      </xdr:grpSpPr>
      <xdr:sp>
        <xdr:nvSpPr>
          <xdr:cNvPr id="2"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981075</xdr:colOff>
      <xdr:row>20</xdr:row>
      <xdr:rowOff>0</xdr:rowOff>
    </xdr:from>
    <xdr:to>
      <xdr:col>9</xdr:col>
      <xdr:colOff>9525</xdr:colOff>
      <xdr:row>20</xdr:row>
      <xdr:rowOff>0</xdr:rowOff>
    </xdr:to>
    <xdr:grpSp>
      <xdr:nvGrpSpPr>
        <xdr:cNvPr id="4" name="Group 44"/>
        <xdr:cNvGrpSpPr>
          <a:grpSpLocks/>
        </xdr:cNvGrpSpPr>
      </xdr:nvGrpSpPr>
      <xdr:grpSpPr>
        <a:xfrm>
          <a:off x="6534150" y="5143500"/>
          <a:ext cx="85725" cy="0"/>
          <a:chOff x="698" y="540"/>
          <a:chExt cx="9" cy="9"/>
        </a:xfrm>
        <a:solidFill>
          <a:srgbClr val="FFFFFF"/>
        </a:solidFill>
      </xdr:grpSpPr>
      <xdr:sp>
        <xdr:nvSpPr>
          <xdr:cNvPr id="5"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xdr:col>
      <xdr:colOff>781050</xdr:colOff>
      <xdr:row>20</xdr:row>
      <xdr:rowOff>0</xdr:rowOff>
    </xdr:from>
    <xdr:to>
      <xdr:col>7</xdr:col>
      <xdr:colOff>0</xdr:colOff>
      <xdr:row>20</xdr:row>
      <xdr:rowOff>0</xdr:rowOff>
    </xdr:to>
    <xdr:grpSp>
      <xdr:nvGrpSpPr>
        <xdr:cNvPr id="7" name="Group 47"/>
        <xdr:cNvGrpSpPr>
          <a:grpSpLocks/>
        </xdr:cNvGrpSpPr>
      </xdr:nvGrpSpPr>
      <xdr:grpSpPr>
        <a:xfrm>
          <a:off x="5181600" y="5143500"/>
          <a:ext cx="85725" cy="0"/>
          <a:chOff x="698" y="540"/>
          <a:chExt cx="9" cy="9"/>
        </a:xfrm>
        <a:solidFill>
          <a:srgbClr val="FFFFFF"/>
        </a:solidFill>
      </xdr:grpSpPr>
      <xdr:sp>
        <xdr:nvSpPr>
          <xdr:cNvPr id="8"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9"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20</xdr:row>
      <xdr:rowOff>0</xdr:rowOff>
    </xdr:from>
    <xdr:to>
      <xdr:col>3</xdr:col>
      <xdr:colOff>85725</xdr:colOff>
      <xdr:row>20</xdr:row>
      <xdr:rowOff>0</xdr:rowOff>
    </xdr:to>
    <xdr:grpSp>
      <xdr:nvGrpSpPr>
        <xdr:cNvPr id="10" name="Group 50"/>
        <xdr:cNvGrpSpPr>
          <a:grpSpLocks/>
        </xdr:cNvGrpSpPr>
      </xdr:nvGrpSpPr>
      <xdr:grpSpPr>
        <a:xfrm>
          <a:off x="1438275" y="5143500"/>
          <a:ext cx="85725" cy="0"/>
          <a:chOff x="595" y="540"/>
          <a:chExt cx="9" cy="9"/>
        </a:xfrm>
        <a:solidFill>
          <a:srgbClr val="FFFFFF"/>
        </a:solidFill>
      </xdr:grpSpPr>
      <xdr:sp>
        <xdr:nvSpPr>
          <xdr:cNvPr id="11"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2"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9525</xdr:colOff>
      <xdr:row>0</xdr:row>
      <xdr:rowOff>76200</xdr:rowOff>
    </xdr:from>
    <xdr:to>
      <xdr:col>1</xdr:col>
      <xdr:colOff>1162050</xdr:colOff>
      <xdr:row>0</xdr:row>
      <xdr:rowOff>419100</xdr:rowOff>
    </xdr:to>
    <xdr:sp>
      <xdr:nvSpPr>
        <xdr:cNvPr id="13" name="AutoShape 50">
          <a:hlinkClick r:id="rId1"/>
        </xdr:cNvPr>
        <xdr:cNvSpPr>
          <a:spLocks/>
        </xdr:cNvSpPr>
      </xdr:nvSpPr>
      <xdr:spPr>
        <a:xfrm>
          <a:off x="9525" y="76200"/>
          <a:ext cx="1228725" cy="3429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0</xdr:rowOff>
    </xdr:from>
    <xdr:to>
      <xdr:col>12</xdr:col>
      <xdr:colOff>0</xdr:colOff>
      <xdr:row>6</xdr:row>
      <xdr:rowOff>0</xdr:rowOff>
    </xdr:to>
    <xdr:graphicFrame>
      <xdr:nvGraphicFramePr>
        <xdr:cNvPr id="1" name="Chart 1"/>
        <xdr:cNvGraphicFramePr/>
      </xdr:nvGraphicFramePr>
      <xdr:xfrm>
        <a:off x="8572500" y="16002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xdr:nvSpPr>
        <xdr:cNvPr id="2" name="AutoShape 50">
          <a:hlinkClick r:id="rId2"/>
        </xdr:cNvPr>
        <xdr:cNvSpPr>
          <a:spLocks/>
        </xdr:cNvSpPr>
      </xdr:nvSpPr>
      <xdr:spPr>
        <a:xfrm>
          <a:off x="19050" y="38100"/>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Desktop\General%202\NTP%20Data\NTP%20Cohort\Cohort%201999-2015\District%20TB%20Data\Data_Region_09_12\District%20Data%202015\NTP%20Cohort%202014_Mab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Desktop\Desktop\General%202\NTP%20Data\NTP%20Cohort\Cohort%201999-2015\District%20TB%20Data\Data_Region_09_12\District%20Data%202014\2014%20Analyzed\Bismarck\NTP%20Cohort%202015%20-%20working%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es (All forms)"/>
      <sheetName val="Cases TBHIV"/>
      <sheetName val="TBHIV Activities"/>
      <sheetName val="CBTC Activities"/>
      <sheetName val="Age&amp;SexNSP"/>
      <sheetName val="Age&amp;SexNSN"/>
      <sheetName val="Age&amp;SexEP"/>
      <sheetName val="Age&amp;SexRelapse"/>
      <sheetName val="Age&amp;SexTAF"/>
      <sheetName val="Age&amp;SexTALF"/>
      <sheetName val="Age&amp;SexOPT"/>
      <sheetName val="Age&amp;SexOPTU"/>
      <sheetName val="Age&amp;SexSND"/>
      <sheetName val="RxOut NSP Adult"/>
      <sheetName val="RxOut NSN adult"/>
      <sheetName val="RxOut EP adult"/>
      <sheetName val="RxOut Relapse adult"/>
      <sheetName val="RxOutTreatAfterFailure adult"/>
      <sheetName val="RxOut ReturnAfterLostTFollowupA"/>
      <sheetName val="RxOut OtherPreviouslyTreatadult"/>
      <sheetName val="RxOut Prev Treat Unknown adult"/>
      <sheetName val="RxOut NSP Paed"/>
      <sheetName val="Outcomes"/>
      <sheetName val="RxOut Relapse Peads"/>
      <sheetName val="RxOutTreatAfterFailure Pead"/>
      <sheetName val="RxOut RALTF Pead"/>
      <sheetName val="RxOut NSN Paed"/>
      <sheetName val="RXOut NAND Paed"/>
      <sheetName val="RxOut EP Paed"/>
      <sheetName val="RxOut OtherPreviouslyTreatPead"/>
      <sheetName val="RxOut HIV NSP"/>
      <sheetName val="RxOutHIVTB NSN Adult"/>
      <sheetName val="RxOutHIVTB EP adult"/>
      <sheetName val="RxOutHIV Relapse adult"/>
      <sheetName val="RxOutHIV TAFailure adult"/>
      <sheetName val="RxOutHIV RALTF adult"/>
      <sheetName val="RxOutHIVTB OtherPrevTreat adult"/>
      <sheetName val="RxOutHIV PrevTreatUnknown adult"/>
      <sheetName val="RxOutHIVTB NSP Paed"/>
      <sheetName val="RxOutHIVTB Relapse Pead"/>
      <sheetName val="RxOutHIVTB TALFollowup Pead"/>
      <sheetName val="RxOutHIVTB NSN Paed"/>
      <sheetName val="RxOutHIVTB EP Paed"/>
      <sheetName val="RxOutHIVTB NA Paed"/>
      <sheetName val="RxOutHIVTB PreviouslyTreat Paed"/>
      <sheetName val="Sheet7"/>
    </sheetNames>
    <sheetDataSet>
      <sheetData sheetId="22">
        <row r="13">
          <cell r="M13">
            <v>0.8526803983085527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ses (All forms)"/>
      <sheetName val="Cases TBHIV"/>
      <sheetName val="TBHIV Activities"/>
      <sheetName val="CBTC Activities"/>
      <sheetName val="Age&amp;SexNSP"/>
      <sheetName val="Age&amp;SexNSN"/>
      <sheetName val="Age&amp;SexEP"/>
      <sheetName val="Age&amp;SexRelapse"/>
      <sheetName val="Age&amp;SexTAF"/>
      <sheetName val="Age&amp;SexTALF"/>
      <sheetName val="Age&amp;SexOPT"/>
      <sheetName val="Age&amp;SexOPTU"/>
      <sheetName val="Age&amp;SexSND"/>
      <sheetName val="RxOut NSP Adult"/>
      <sheetName val="RxOut NSN adult"/>
      <sheetName val="RxOut EP adult"/>
      <sheetName val="RxOut Relapse adult"/>
      <sheetName val="RxOutTreatAfterFailures adult"/>
      <sheetName val="RxOut ReturnAfterFollow-upAdult"/>
      <sheetName val="RxOut OtherPreviouslyTreatadult"/>
      <sheetName val="RxOut Prev Treat Unknown adult"/>
      <sheetName val="RxOut NSP Paed"/>
      <sheetName val="RxOut Relapse Peads"/>
      <sheetName val="RxOutTreatAfterFailure Pead"/>
      <sheetName val="RxOut RALTF Pead"/>
      <sheetName val="RxOut NSN Paed"/>
      <sheetName val="RXOut NAND Paed"/>
      <sheetName val="RxOut EP Paed"/>
      <sheetName val="RxOut OtherPreviouslyTreatPead"/>
      <sheetName val="RxOut HIV NSP"/>
      <sheetName val="RxOutHIVTB NSN Adult"/>
      <sheetName val="RxOutHIVTB EP adult"/>
      <sheetName val="RxOutHIV Relapse adult"/>
      <sheetName val="RxOutHIV TAFailure adult"/>
      <sheetName val="RxOutHIV RALTF adult"/>
      <sheetName val="RxOutHIVTB OtherPrevTreat adult"/>
      <sheetName val="RxOutHIV PrevTreatUnknown adult"/>
      <sheetName val="RxOutHIVTB NSP Paed"/>
      <sheetName val="RxOutHIVTB Relapse Pead"/>
      <sheetName val="RxOutHIVTB TALFollowup Pead"/>
      <sheetName val="RxOutHIVTB NSN Paed"/>
      <sheetName val="RxOutHIVTB EP Paed"/>
      <sheetName val="RxOutHIVTB NA Paed"/>
      <sheetName val="RxOutHIVTB PreviouslyTreat Paed"/>
      <sheetName val="Sheet7"/>
      <sheetName val="Sheet1"/>
    </sheetNames>
    <sheetDataSet>
      <sheetData sheetId="0">
        <row r="77">
          <cell r="E77">
            <v>8178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1"/>
  </sheetPr>
  <dimension ref="B2:O22"/>
  <sheetViews>
    <sheetView showGridLines="0" showRowColHeaders="0" zoomScale="120" zoomScaleNormal="120" zoomScalePageLayoutView="0" workbookViewId="0" topLeftCell="A1">
      <selection activeCell="N3" sqref="N3"/>
    </sheetView>
  </sheetViews>
  <sheetFormatPr defaultColWidth="11.00390625" defaultRowHeight="15"/>
  <cols>
    <col min="1" max="1" width="1.1484375" style="0" customWidth="1"/>
    <col min="2" max="10" width="11.421875" style="0" customWidth="1"/>
    <col min="11" max="11" width="1.7109375" style="0" customWidth="1"/>
  </cols>
  <sheetData>
    <row r="1" ht="25.5" customHeight="1"/>
    <row r="2" spans="2:15" ht="36">
      <c r="B2" s="506" t="str">
        <f>+'Grant Detail'!B3:J3</f>
        <v>Dashboard:  Ghana - TB</v>
      </c>
      <c r="C2" s="506"/>
      <c r="D2" s="506"/>
      <c r="E2" s="506"/>
      <c r="F2" s="506"/>
      <c r="G2" s="506"/>
      <c r="H2" s="506"/>
      <c r="I2" s="506"/>
      <c r="J2" s="506"/>
      <c r="K2" s="506"/>
      <c r="L2" s="506"/>
      <c r="M2" s="1"/>
      <c r="N2" s="1"/>
      <c r="O2" s="1"/>
    </row>
    <row r="4" spans="2:12" ht="21">
      <c r="B4" s="507" t="str">
        <f>+IF('Data Entry'!G6="Please Select","",'Data Entry'!G6)&amp;"  "&amp;+IF('Data Entry'!G8="Please Select","",'Data Entry'!G8&amp;",  ")&amp;+IF('Data Entry'!I8="Please Select","",'Data Entry'!I8)</f>
        <v>TB  ,  </v>
      </c>
      <c r="C4" s="507"/>
      <c r="D4" s="507"/>
      <c r="E4" s="508"/>
      <c r="F4" s="233"/>
      <c r="G4" s="233"/>
      <c r="H4" s="359" t="str">
        <f>+'Data Entry'!B6&amp;" "&amp;+'Data Entry'!C6</f>
        <v>Grant No.: GHA-T-MOH</v>
      </c>
      <c r="I4" s="359"/>
      <c r="J4" s="232"/>
      <c r="K4" s="233"/>
      <c r="L4" s="233"/>
    </row>
    <row r="22" spans="2:12" ht="26.25">
      <c r="B22" s="509" t="s">
        <v>407</v>
      </c>
      <c r="C22" s="510"/>
      <c r="D22" s="510"/>
      <c r="E22" s="510"/>
      <c r="F22" s="510"/>
      <c r="G22" s="510"/>
      <c r="H22" s="510"/>
      <c r="I22" s="510"/>
      <c r="J22" s="510"/>
      <c r="K22" s="510"/>
      <c r="L22" s="510"/>
    </row>
  </sheetData>
  <sheetProtection password="CFC9" sheet="1"/>
  <mergeCells count="3">
    <mergeCell ref="B2:L2"/>
    <mergeCell ref="B4:E4"/>
    <mergeCell ref="B22:L22"/>
  </mergeCells>
  <printOptions/>
  <pageMargins left="0.7086614173228347" right="0.7086614173228347" top="0.7480314960629921" bottom="0.7480314960629921" header="0.31496062992125984" footer="0.31496062992125984"/>
  <pageSetup horizontalDpi="600" verticalDpi="600" orientation="landscape" paperSize="9" r:id="rId2"/>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144"/>
  <sheetViews>
    <sheetView showGridLines="0" zoomScale="80" zoomScaleNormal="80" zoomScalePageLayoutView="0" workbookViewId="0" topLeftCell="C1">
      <selection activeCell="G24" sqref="G24"/>
    </sheetView>
  </sheetViews>
  <sheetFormatPr defaultColWidth="11.00390625" defaultRowHeight="15"/>
  <cols>
    <col min="1" max="1" width="11.421875" style="0" customWidth="1"/>
    <col min="2" max="2" width="16.140625" style="0" customWidth="1"/>
    <col min="3" max="3" width="14.7109375" style="0" customWidth="1"/>
    <col min="4" max="4" width="15.57421875" style="0" customWidth="1"/>
    <col min="5" max="6" width="11.421875" style="0" customWidth="1"/>
    <col min="7" max="7" width="14.421875" style="0" customWidth="1"/>
    <col min="8" max="8" width="35.57421875" style="0" customWidth="1"/>
    <col min="9" max="9" width="45.7109375" style="0" customWidth="1"/>
    <col min="10" max="10" width="33.57421875" style="0" customWidth="1"/>
    <col min="11" max="12" width="11.421875" style="0" customWidth="1"/>
    <col min="13" max="13" width="28.57421875" style="0" customWidth="1"/>
    <col min="14" max="14" width="46.421875" style="0" customWidth="1"/>
  </cols>
  <sheetData>
    <row r="2" ht="25.5" customHeight="1"/>
    <row r="3" spans="2:9" ht="36">
      <c r="B3" s="901" t="str">
        <f>'Grant Detail'!B3:J3</f>
        <v>Dashboard:  Ghana - TB</v>
      </c>
      <c r="C3" s="901"/>
      <c r="D3" s="901"/>
      <c r="E3" s="901"/>
      <c r="F3" s="901"/>
      <c r="G3" s="901"/>
      <c r="H3" s="901"/>
      <c r="I3" s="1"/>
    </row>
    <row r="6" spans="2:8" ht="18.75">
      <c r="B6" s="875" t="s">
        <v>319</v>
      </c>
      <c r="C6" s="875"/>
      <c r="D6" s="875"/>
      <c r="E6" s="875"/>
      <c r="F6" s="875"/>
      <c r="G6" s="875"/>
      <c r="H6" s="875"/>
    </row>
    <row r="8" spans="2:15" ht="18.75">
      <c r="B8" s="62" t="s">
        <v>33</v>
      </c>
      <c r="C8" s="62" t="s">
        <v>36</v>
      </c>
      <c r="D8" s="62" t="s">
        <v>37</v>
      </c>
      <c r="E8" s="62" t="s">
        <v>42</v>
      </c>
      <c r="F8" s="62" t="s">
        <v>286</v>
      </c>
      <c r="G8" s="62" t="s">
        <v>265</v>
      </c>
      <c r="H8" s="62" t="s">
        <v>293</v>
      </c>
      <c r="I8" s="63" t="s">
        <v>88</v>
      </c>
      <c r="J8" s="63" t="s">
        <v>129</v>
      </c>
      <c r="M8" s="19"/>
      <c r="N8" s="19"/>
      <c r="O8" s="19"/>
    </row>
    <row r="9" spans="2:15" ht="15">
      <c r="B9" s="86" t="s">
        <v>373</v>
      </c>
      <c r="C9" s="86" t="s">
        <v>373</v>
      </c>
      <c r="D9" s="86" t="s">
        <v>373</v>
      </c>
      <c r="E9" s="86" t="s">
        <v>373</v>
      </c>
      <c r="F9" s="86" t="s">
        <v>373</v>
      </c>
      <c r="G9" s="86" t="s">
        <v>373</v>
      </c>
      <c r="H9" s="86" t="s">
        <v>373</v>
      </c>
      <c r="I9" s="432" t="s">
        <v>373</v>
      </c>
      <c r="J9" s="86" t="s">
        <v>373</v>
      </c>
      <c r="M9" s="19"/>
      <c r="N9" s="19"/>
      <c r="O9" s="19"/>
    </row>
    <row r="10" spans="2:15" ht="15">
      <c r="B10" s="57" t="s">
        <v>28</v>
      </c>
      <c r="C10" s="57" t="s">
        <v>19</v>
      </c>
      <c r="D10" s="57" t="s">
        <v>17</v>
      </c>
      <c r="E10" s="57" t="s">
        <v>18</v>
      </c>
      <c r="F10" s="57" t="s">
        <v>106</v>
      </c>
      <c r="G10" s="441" t="s">
        <v>44</v>
      </c>
      <c r="H10" s="60" t="s">
        <v>49</v>
      </c>
      <c r="I10" s="27" t="s">
        <v>299</v>
      </c>
      <c r="J10" s="86" t="s">
        <v>130</v>
      </c>
      <c r="M10" s="19"/>
      <c r="N10" s="19"/>
      <c r="O10" s="19"/>
    </row>
    <row r="11" spans="2:15" ht="15">
      <c r="B11" s="57" t="s">
        <v>34</v>
      </c>
      <c r="C11" s="57" t="s">
        <v>14</v>
      </c>
      <c r="D11" s="57" t="s">
        <v>20</v>
      </c>
      <c r="E11" s="57" t="s">
        <v>16</v>
      </c>
      <c r="F11" s="57" t="s">
        <v>107</v>
      </c>
      <c r="G11" s="441" t="s">
        <v>45</v>
      </c>
      <c r="H11" s="60" t="s">
        <v>50</v>
      </c>
      <c r="I11" s="27" t="s">
        <v>300</v>
      </c>
      <c r="J11" s="86" t="s">
        <v>131</v>
      </c>
      <c r="M11" s="19"/>
      <c r="N11" s="19"/>
      <c r="O11" s="19"/>
    </row>
    <row r="12" spans="2:15" ht="15">
      <c r="B12" s="57" t="s">
        <v>35</v>
      </c>
      <c r="D12" s="57" t="s">
        <v>23</v>
      </c>
      <c r="E12" s="57" t="s">
        <v>24</v>
      </c>
      <c r="F12" s="57" t="s">
        <v>108</v>
      </c>
      <c r="G12" s="441" t="s">
        <v>46</v>
      </c>
      <c r="H12" s="60" t="s">
        <v>51</v>
      </c>
      <c r="I12" s="27" t="s">
        <v>301</v>
      </c>
      <c r="J12" s="86" t="s">
        <v>132</v>
      </c>
      <c r="M12" s="199"/>
      <c r="N12" s="19"/>
      <c r="O12" s="19"/>
    </row>
    <row r="13" spans="2:15" ht="15">
      <c r="B13" s="57" t="s">
        <v>84</v>
      </c>
      <c r="D13" s="57" t="s">
        <v>25</v>
      </c>
      <c r="E13" s="58"/>
      <c r="F13" s="57" t="s">
        <v>109</v>
      </c>
      <c r="G13" s="441" t="s">
        <v>47</v>
      </c>
      <c r="H13" s="60" t="s">
        <v>52</v>
      </c>
      <c r="I13" s="27" t="s">
        <v>302</v>
      </c>
      <c r="J13" s="86" t="s">
        <v>133</v>
      </c>
      <c r="M13" s="199"/>
      <c r="N13" s="19"/>
      <c r="O13" s="19"/>
    </row>
    <row r="14" spans="2:15" ht="15">
      <c r="B14" s="57" t="s">
        <v>85</v>
      </c>
      <c r="D14" s="57" t="s">
        <v>38</v>
      </c>
      <c r="F14" s="57" t="s">
        <v>120</v>
      </c>
      <c r="G14" s="441" t="s">
        <v>48</v>
      </c>
      <c r="H14" s="60" t="s">
        <v>53</v>
      </c>
      <c r="I14" s="27" t="s">
        <v>271</v>
      </c>
      <c r="J14" s="86" t="s">
        <v>134</v>
      </c>
      <c r="M14" s="199"/>
      <c r="N14" s="19"/>
      <c r="O14" s="19"/>
    </row>
    <row r="15" spans="4:15" ht="15">
      <c r="D15" s="57" t="s">
        <v>39</v>
      </c>
      <c r="F15" s="57" t="s">
        <v>121</v>
      </c>
      <c r="H15" s="60" t="s">
        <v>54</v>
      </c>
      <c r="I15" s="27" t="s">
        <v>71</v>
      </c>
      <c r="J15" s="86" t="s">
        <v>135</v>
      </c>
      <c r="M15" s="199"/>
      <c r="N15" s="19"/>
      <c r="O15" s="19"/>
    </row>
    <row r="16" spans="4:15" ht="15">
      <c r="D16" s="57" t="s">
        <v>40</v>
      </c>
      <c r="F16" s="57" t="s">
        <v>122</v>
      </c>
      <c r="H16" s="60" t="s">
        <v>55</v>
      </c>
      <c r="I16" s="27" t="s">
        <v>72</v>
      </c>
      <c r="J16" s="86" t="s">
        <v>136</v>
      </c>
      <c r="M16" s="199"/>
      <c r="N16" s="19"/>
      <c r="O16" s="19"/>
    </row>
    <row r="17" spans="4:15" ht="15">
      <c r="D17" s="57" t="s">
        <v>41</v>
      </c>
      <c r="F17" s="57" t="s">
        <v>123</v>
      </c>
      <c r="H17" s="60" t="s">
        <v>56</v>
      </c>
      <c r="I17" s="27" t="s">
        <v>73</v>
      </c>
      <c r="J17" s="86" t="s">
        <v>137</v>
      </c>
      <c r="M17" s="199"/>
      <c r="N17" s="19"/>
      <c r="O17" s="19"/>
    </row>
    <row r="18" spans="4:15" ht="15">
      <c r="D18" s="57" t="s">
        <v>15</v>
      </c>
      <c r="F18" s="57" t="s">
        <v>124</v>
      </c>
      <c r="H18" s="60" t="s">
        <v>57</v>
      </c>
      <c r="I18" s="27" t="s">
        <v>74</v>
      </c>
      <c r="J18" s="86" t="s">
        <v>138</v>
      </c>
      <c r="M18" s="199"/>
      <c r="N18" s="19"/>
      <c r="O18" s="19"/>
    </row>
    <row r="19" spans="4:15" ht="15">
      <c r="D19" s="440" t="s">
        <v>369</v>
      </c>
      <c r="F19" s="57" t="s">
        <v>125</v>
      </c>
      <c r="H19" s="60" t="s">
        <v>58</v>
      </c>
      <c r="I19" s="27" t="s">
        <v>75</v>
      </c>
      <c r="J19" s="86" t="s">
        <v>139</v>
      </c>
      <c r="M19" s="199"/>
      <c r="N19" s="19"/>
      <c r="O19" s="19"/>
    </row>
    <row r="20" spans="4:15" ht="15">
      <c r="D20" s="59"/>
      <c r="F20" s="57" t="s">
        <v>126</v>
      </c>
      <c r="H20" s="60" t="s">
        <v>262</v>
      </c>
      <c r="I20" s="27" t="s">
        <v>76</v>
      </c>
      <c r="J20" s="86" t="s">
        <v>140</v>
      </c>
      <c r="M20" s="19"/>
      <c r="N20" s="19"/>
      <c r="O20" s="19"/>
    </row>
    <row r="21" spans="4:15" ht="15">
      <c r="D21" s="61"/>
      <c r="F21" s="57" t="s">
        <v>287</v>
      </c>
      <c r="H21" s="61"/>
      <c r="I21" s="27" t="s">
        <v>78</v>
      </c>
      <c r="J21" s="86" t="s">
        <v>141</v>
      </c>
      <c r="M21" s="19"/>
      <c r="N21" s="19"/>
      <c r="O21" s="19"/>
    </row>
    <row r="22" spans="8:15" ht="15">
      <c r="H22" s="61"/>
      <c r="I22" s="27" t="s">
        <v>79</v>
      </c>
      <c r="J22" s="86" t="s">
        <v>142</v>
      </c>
      <c r="M22" s="19"/>
      <c r="N22" s="19"/>
      <c r="O22" s="19"/>
    </row>
    <row r="23" spans="9:15" ht="15">
      <c r="I23" s="27" t="s">
        <v>77</v>
      </c>
      <c r="J23" s="86" t="s">
        <v>143</v>
      </c>
      <c r="M23" s="19"/>
      <c r="N23" s="19"/>
      <c r="O23" s="19"/>
    </row>
    <row r="24" spans="9:15" ht="15">
      <c r="I24" s="27" t="s">
        <v>310</v>
      </c>
      <c r="J24" s="86" t="s">
        <v>144</v>
      </c>
      <c r="M24" s="19"/>
      <c r="N24" s="19"/>
      <c r="O24" s="19"/>
    </row>
    <row r="25" spans="9:10" ht="15">
      <c r="I25" s="45"/>
      <c r="J25" s="86" t="s">
        <v>145</v>
      </c>
    </row>
    <row r="26" spans="9:10" ht="15">
      <c r="I26" s="27" t="s">
        <v>314</v>
      </c>
      <c r="J26" s="86" t="s">
        <v>146</v>
      </c>
    </row>
    <row r="27" spans="9:10" ht="15">
      <c r="I27" s="27" t="s">
        <v>309</v>
      </c>
      <c r="J27" s="86" t="s">
        <v>147</v>
      </c>
    </row>
    <row r="28" spans="9:10" ht="15">
      <c r="I28" s="45"/>
      <c r="J28" s="86" t="s">
        <v>148</v>
      </c>
    </row>
    <row r="29" spans="9:10" ht="15">
      <c r="I29" s="45"/>
      <c r="J29" s="86" t="s">
        <v>149</v>
      </c>
    </row>
    <row r="30" spans="9:10" ht="15">
      <c r="I30" s="45"/>
      <c r="J30" s="86" t="s">
        <v>150</v>
      </c>
    </row>
    <row r="31" ht="15">
      <c r="J31" s="86" t="s">
        <v>151</v>
      </c>
    </row>
    <row r="32" ht="15">
      <c r="J32" s="86" t="s">
        <v>152</v>
      </c>
    </row>
    <row r="33" ht="15">
      <c r="J33" s="86" t="s">
        <v>153</v>
      </c>
    </row>
    <row r="34" ht="15">
      <c r="J34" s="86" t="s">
        <v>154</v>
      </c>
    </row>
    <row r="35" ht="15">
      <c r="J35" s="86" t="s">
        <v>155</v>
      </c>
    </row>
    <row r="36" ht="15">
      <c r="J36" s="86" t="s">
        <v>155</v>
      </c>
    </row>
    <row r="37" ht="15">
      <c r="J37" s="86" t="s">
        <v>156</v>
      </c>
    </row>
    <row r="38" ht="15">
      <c r="J38" s="86" t="s">
        <v>157</v>
      </c>
    </row>
    <row r="39" ht="15">
      <c r="J39" s="86" t="s">
        <v>158</v>
      </c>
    </row>
    <row r="40" ht="15">
      <c r="J40" s="86" t="s">
        <v>159</v>
      </c>
    </row>
    <row r="41" ht="15">
      <c r="J41" s="86" t="s">
        <v>160</v>
      </c>
    </row>
    <row r="42" ht="15">
      <c r="J42" s="86" t="s">
        <v>161</v>
      </c>
    </row>
    <row r="43" ht="15">
      <c r="J43" s="86" t="s">
        <v>162</v>
      </c>
    </row>
    <row r="44" ht="15">
      <c r="J44" s="86" t="s">
        <v>163</v>
      </c>
    </row>
    <row r="45" ht="15">
      <c r="J45" s="86" t="s">
        <v>164</v>
      </c>
    </row>
    <row r="46" ht="15">
      <c r="J46" s="86" t="s">
        <v>165</v>
      </c>
    </row>
    <row r="47" ht="15">
      <c r="J47" s="86" t="s">
        <v>166</v>
      </c>
    </row>
    <row r="48" ht="15">
      <c r="J48" s="86" t="s">
        <v>167</v>
      </c>
    </row>
    <row r="49" ht="15">
      <c r="J49" s="86" t="s">
        <v>168</v>
      </c>
    </row>
    <row r="50" ht="15">
      <c r="J50" s="86" t="s">
        <v>169</v>
      </c>
    </row>
    <row r="51" ht="15">
      <c r="J51" s="86" t="s">
        <v>170</v>
      </c>
    </row>
    <row r="52" ht="15">
      <c r="J52" s="86" t="s">
        <v>171</v>
      </c>
    </row>
    <row r="53" ht="15">
      <c r="J53" s="86" t="s">
        <v>172</v>
      </c>
    </row>
    <row r="54" ht="15">
      <c r="J54" s="86" t="s">
        <v>173</v>
      </c>
    </row>
    <row r="55" ht="15">
      <c r="J55" s="86" t="s">
        <v>174</v>
      </c>
    </row>
    <row r="56" ht="15">
      <c r="J56" s="86" t="s">
        <v>175</v>
      </c>
    </row>
    <row r="57" ht="15">
      <c r="J57" s="86" t="s">
        <v>176</v>
      </c>
    </row>
    <row r="58" ht="15">
      <c r="J58" s="86" t="s">
        <v>177</v>
      </c>
    </row>
    <row r="59" ht="15">
      <c r="J59" s="86" t="s">
        <v>178</v>
      </c>
    </row>
    <row r="60" ht="15">
      <c r="J60" s="86" t="s">
        <v>179</v>
      </c>
    </row>
    <row r="61" ht="15">
      <c r="J61" s="86" t="s">
        <v>180</v>
      </c>
    </row>
    <row r="62" ht="15">
      <c r="J62" s="86" t="s">
        <v>181</v>
      </c>
    </row>
    <row r="63" ht="15">
      <c r="J63" s="86" t="s">
        <v>182</v>
      </c>
    </row>
    <row r="64" ht="15">
      <c r="J64" s="86" t="s">
        <v>183</v>
      </c>
    </row>
    <row r="65" ht="15">
      <c r="J65" s="86" t="s">
        <v>184</v>
      </c>
    </row>
    <row r="66" ht="15">
      <c r="J66" s="86" t="s">
        <v>185</v>
      </c>
    </row>
    <row r="67" ht="15">
      <c r="J67" s="86" t="s">
        <v>186</v>
      </c>
    </row>
    <row r="68" ht="15">
      <c r="J68" s="86" t="s">
        <v>187</v>
      </c>
    </row>
    <row r="69" ht="15">
      <c r="J69" s="86" t="s">
        <v>188</v>
      </c>
    </row>
    <row r="70" ht="15">
      <c r="J70" s="86" t="s">
        <v>189</v>
      </c>
    </row>
    <row r="71" ht="15">
      <c r="J71" s="86" t="s">
        <v>190</v>
      </c>
    </row>
    <row r="72" ht="15">
      <c r="J72" s="86" t="s">
        <v>191</v>
      </c>
    </row>
    <row r="73" ht="15">
      <c r="J73" s="86" t="s">
        <v>192</v>
      </c>
    </row>
    <row r="74" ht="15">
      <c r="J74" s="86" t="s">
        <v>193</v>
      </c>
    </row>
    <row r="75" ht="15">
      <c r="J75" s="86" t="s">
        <v>194</v>
      </c>
    </row>
    <row r="76" ht="15">
      <c r="J76" s="86" t="s">
        <v>195</v>
      </c>
    </row>
    <row r="77" ht="15">
      <c r="J77" s="86" t="s">
        <v>196</v>
      </c>
    </row>
    <row r="78" ht="15">
      <c r="J78" s="86" t="s">
        <v>197</v>
      </c>
    </row>
    <row r="79" ht="15">
      <c r="J79" s="86" t="s">
        <v>198</v>
      </c>
    </row>
    <row r="80" ht="15">
      <c r="J80" s="86" t="s">
        <v>199</v>
      </c>
    </row>
    <row r="81" ht="15">
      <c r="J81" s="86" t="s">
        <v>200</v>
      </c>
    </row>
    <row r="82" ht="15">
      <c r="J82" s="86" t="s">
        <v>201</v>
      </c>
    </row>
    <row r="83" ht="15">
      <c r="J83" s="86" t="s">
        <v>202</v>
      </c>
    </row>
    <row r="84" ht="15">
      <c r="J84" s="86" t="s">
        <v>203</v>
      </c>
    </row>
    <row r="85" ht="15">
      <c r="J85" s="86" t="s">
        <v>204</v>
      </c>
    </row>
    <row r="86" ht="15">
      <c r="J86" s="86" t="s">
        <v>205</v>
      </c>
    </row>
    <row r="87" ht="15">
      <c r="J87" s="86" t="s">
        <v>206</v>
      </c>
    </row>
    <row r="88" ht="15">
      <c r="J88" s="86" t="s">
        <v>207</v>
      </c>
    </row>
    <row r="89" ht="15">
      <c r="J89" s="86" t="s">
        <v>208</v>
      </c>
    </row>
    <row r="90" ht="15">
      <c r="J90" s="86" t="s">
        <v>209</v>
      </c>
    </row>
    <row r="91" ht="15">
      <c r="J91" s="86" t="s">
        <v>210</v>
      </c>
    </row>
    <row r="92" ht="15">
      <c r="J92" s="86" t="s">
        <v>211</v>
      </c>
    </row>
    <row r="93" ht="15">
      <c r="J93" s="86" t="s">
        <v>212</v>
      </c>
    </row>
    <row r="94" ht="15">
      <c r="J94" s="86" t="s">
        <v>213</v>
      </c>
    </row>
    <row r="95" ht="15">
      <c r="J95" s="86" t="s">
        <v>214</v>
      </c>
    </row>
    <row r="96" ht="15">
      <c r="J96" s="86" t="s">
        <v>215</v>
      </c>
    </row>
    <row r="97" ht="15">
      <c r="J97" s="86" t="s">
        <v>216</v>
      </c>
    </row>
    <row r="98" ht="15">
      <c r="J98" s="86" t="s">
        <v>217</v>
      </c>
    </row>
    <row r="99" ht="15">
      <c r="J99" s="86" t="s">
        <v>218</v>
      </c>
    </row>
    <row r="100" ht="15">
      <c r="J100" s="86" t="s">
        <v>219</v>
      </c>
    </row>
    <row r="101" ht="15">
      <c r="J101" s="86" t="s">
        <v>220</v>
      </c>
    </row>
    <row r="102" ht="15">
      <c r="J102" s="86" t="s">
        <v>221</v>
      </c>
    </row>
    <row r="103" ht="15">
      <c r="J103" s="86" t="s">
        <v>222</v>
      </c>
    </row>
    <row r="104" ht="15">
      <c r="J104" s="86" t="s">
        <v>223</v>
      </c>
    </row>
    <row r="105" ht="15">
      <c r="J105" s="86" t="s">
        <v>224</v>
      </c>
    </row>
    <row r="106" ht="15">
      <c r="J106" s="86" t="s">
        <v>225</v>
      </c>
    </row>
    <row r="107" ht="15">
      <c r="J107" s="86" t="s">
        <v>226</v>
      </c>
    </row>
    <row r="108" ht="15">
      <c r="J108" s="86" t="s">
        <v>227</v>
      </c>
    </row>
    <row r="109" ht="15">
      <c r="J109" s="86" t="s">
        <v>228</v>
      </c>
    </row>
    <row r="110" ht="15">
      <c r="J110" s="86" t="s">
        <v>229</v>
      </c>
    </row>
    <row r="111" ht="15">
      <c r="J111" s="86" t="s">
        <v>81</v>
      </c>
    </row>
    <row r="112" ht="15">
      <c r="J112" s="86" t="s">
        <v>230</v>
      </c>
    </row>
    <row r="113" ht="15">
      <c r="J113" s="86" t="s">
        <v>231</v>
      </c>
    </row>
    <row r="114" ht="15">
      <c r="J114" s="86" t="s">
        <v>232</v>
      </c>
    </row>
    <row r="115" ht="15">
      <c r="J115" s="86" t="s">
        <v>233</v>
      </c>
    </row>
    <row r="116" ht="15">
      <c r="J116" s="86" t="s">
        <v>234</v>
      </c>
    </row>
    <row r="117" ht="15">
      <c r="J117" s="86" t="s">
        <v>235</v>
      </c>
    </row>
    <row r="118" ht="15">
      <c r="J118" s="86" t="s">
        <v>236</v>
      </c>
    </row>
    <row r="119" ht="15">
      <c r="J119" s="86" t="s">
        <v>237</v>
      </c>
    </row>
    <row r="120" ht="15">
      <c r="J120" s="86" t="s">
        <v>238</v>
      </c>
    </row>
    <row r="121" ht="15">
      <c r="J121" s="86" t="s">
        <v>239</v>
      </c>
    </row>
    <row r="122" ht="15">
      <c r="J122" s="86" t="s">
        <v>240</v>
      </c>
    </row>
    <row r="123" ht="15">
      <c r="J123" s="86" t="s">
        <v>241</v>
      </c>
    </row>
    <row r="124" ht="15">
      <c r="J124" s="86" t="s">
        <v>242</v>
      </c>
    </row>
    <row r="125" ht="15">
      <c r="J125" s="86" t="s">
        <v>243</v>
      </c>
    </row>
    <row r="126" ht="15">
      <c r="J126" s="86" t="s">
        <v>244</v>
      </c>
    </row>
    <row r="127" ht="15">
      <c r="J127" s="86" t="s">
        <v>245</v>
      </c>
    </row>
    <row r="128" ht="15">
      <c r="J128" s="86" t="s">
        <v>246</v>
      </c>
    </row>
    <row r="129" ht="15">
      <c r="J129" s="86" t="s">
        <v>247</v>
      </c>
    </row>
    <row r="130" ht="15">
      <c r="J130" s="86" t="s">
        <v>248</v>
      </c>
    </row>
    <row r="131" ht="15">
      <c r="J131" s="86" t="s">
        <v>249</v>
      </c>
    </row>
    <row r="132" ht="15">
      <c r="J132" s="86" t="s">
        <v>250</v>
      </c>
    </row>
    <row r="133" ht="15">
      <c r="J133" s="86" t="s">
        <v>251</v>
      </c>
    </row>
    <row r="134" ht="15">
      <c r="J134" s="86" t="s">
        <v>252</v>
      </c>
    </row>
    <row r="135" ht="15">
      <c r="J135" s="86" t="s">
        <v>253</v>
      </c>
    </row>
    <row r="136" ht="15">
      <c r="J136" s="86" t="s">
        <v>254</v>
      </c>
    </row>
    <row r="137" ht="15">
      <c r="J137" s="86" t="s">
        <v>255</v>
      </c>
    </row>
    <row r="138" ht="15">
      <c r="J138" s="86" t="s">
        <v>256</v>
      </c>
    </row>
    <row r="139" ht="15">
      <c r="J139" s="86" t="s">
        <v>257</v>
      </c>
    </row>
    <row r="140" ht="15">
      <c r="J140" s="86" t="s">
        <v>258</v>
      </c>
    </row>
    <row r="141" ht="15">
      <c r="J141" s="86" t="s">
        <v>259</v>
      </c>
    </row>
    <row r="142" ht="15">
      <c r="J142" s="86" t="s">
        <v>260</v>
      </c>
    </row>
    <row r="143" ht="15">
      <c r="J143" s="86" t="s">
        <v>261</v>
      </c>
    </row>
    <row r="144" ht="15">
      <c r="J144" s="430"/>
    </row>
  </sheetData>
  <sheetProtection/>
  <mergeCells count="2">
    <mergeCell ref="B3:H3"/>
    <mergeCell ref="B6:H6"/>
  </mergeCells>
  <dataValidations count="1">
    <dataValidation type="list" allowBlank="1" showInputMessage="1" showErrorMessage="1" sqref="M28">
      <formula1>$J$10:$J$143</formula1>
    </dataValidation>
  </dataValidations>
  <printOptions/>
  <pageMargins left="0.7" right="0.7" top="0.75" bottom="0.75" header="0.3" footer="0.3"/>
  <pageSetup horizontalDpi="300" verticalDpi="300" orientation="landscape" r:id="rId2"/>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sheetPr>
    <tabColor rgb="FFFFC000"/>
  </sheetPr>
  <dimension ref="A1:O53"/>
  <sheetViews>
    <sheetView showGridLines="0" zoomScale="80" zoomScaleNormal="80" zoomScalePageLayoutView="0" workbookViewId="0" topLeftCell="A1">
      <pane ySplit="2" topLeftCell="A45" activePane="bottomLeft" state="frozen"/>
      <selection pane="topLeft" activeCell="E22" sqref="E22"/>
      <selection pane="bottomLeft" activeCell="G54" sqref="G54"/>
    </sheetView>
  </sheetViews>
  <sheetFormatPr defaultColWidth="11.00390625" defaultRowHeight="15"/>
  <cols>
    <col min="1" max="1" width="2.7109375" style="0" customWidth="1"/>
    <col min="2" max="2" width="21.421875" style="0" customWidth="1"/>
    <col min="3" max="3" width="11.421875" style="0" customWidth="1"/>
    <col min="4" max="4" width="11.140625" style="0" customWidth="1"/>
    <col min="5" max="5" width="16.421875" style="0" customWidth="1"/>
    <col min="6" max="6" width="15.7109375" style="0" customWidth="1"/>
    <col min="7" max="7" width="37.28125" style="0" customWidth="1"/>
    <col min="8" max="8" width="17.2812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57421875" style="36" customWidth="1"/>
    <col min="15" max="15" width="3.00390625" style="36" customWidth="1"/>
    <col min="16" max="16" width="2.57421875" style="0" customWidth="1"/>
    <col min="17" max="17" width="16.140625" style="0" customWidth="1"/>
    <col min="18" max="18" width="13.7109375" style="0" customWidth="1"/>
    <col min="19" max="19" width="11.421875" style="0" customWidth="1"/>
    <col min="20" max="20" width="14.8515625" style="0" customWidth="1"/>
    <col min="21" max="21" width="16.00390625" style="0" customWidth="1"/>
    <col min="22" max="22" width="11.421875"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34.5" customHeight="1">
      <c r="A1" s="3"/>
      <c r="B1" s="3"/>
      <c r="C1" s="3"/>
      <c r="D1" s="3"/>
      <c r="E1" s="3"/>
      <c r="F1" s="3"/>
      <c r="G1" s="3"/>
      <c r="H1" s="3"/>
      <c r="I1" s="3"/>
      <c r="J1" s="3"/>
      <c r="K1" s="3"/>
      <c r="L1" s="3"/>
      <c r="M1" s="3"/>
    </row>
    <row r="2" spans="1:13" ht="36" customHeight="1">
      <c r="A2" s="3"/>
      <c r="B2" s="525" t="str">
        <f>+"Dashboard: "&amp;" "&amp;+IF('Data Entry'!C4="Please Select","",'Data Entry'!C4&amp;" - ")&amp;+IF('Data Entry'!G6="Please Select","",'Data Entry'!G6)</f>
        <v>Dashboard:  Ghana - TB</v>
      </c>
      <c r="C2" s="525"/>
      <c r="D2" s="525"/>
      <c r="E2" s="525"/>
      <c r="F2" s="525"/>
      <c r="G2" s="525"/>
      <c r="H2" s="525"/>
      <c r="I2" s="525"/>
      <c r="J2" s="525"/>
      <c r="K2" s="525"/>
      <c r="L2" s="525"/>
      <c r="M2" s="525"/>
    </row>
    <row r="3" spans="1:13" ht="15.75" customHeight="1">
      <c r="A3" s="3"/>
      <c r="B3" s="224"/>
      <c r="C3" s="224"/>
      <c r="D3" s="224"/>
      <c r="E3" s="224"/>
      <c r="F3" s="224"/>
      <c r="G3" s="224"/>
      <c r="H3" s="224"/>
      <c r="I3" s="224"/>
      <c r="J3" s="224"/>
      <c r="K3" s="225"/>
      <c r="L3" s="225"/>
      <c r="M3" s="3"/>
    </row>
    <row r="5" spans="2:15" ht="23.25">
      <c r="B5" s="526" t="s">
        <v>283</v>
      </c>
      <c r="C5" s="526"/>
      <c r="D5" s="526"/>
      <c r="E5" s="526"/>
      <c r="F5" s="526"/>
      <c r="G5" s="526"/>
      <c r="H5" s="526"/>
      <c r="I5" s="526"/>
      <c r="J5" s="526"/>
      <c r="K5" s="526"/>
      <c r="L5" s="526"/>
      <c r="M5" s="526"/>
      <c r="N5" s="526"/>
      <c r="O5" s="526"/>
    </row>
    <row r="7" spans="2:15" ht="21">
      <c r="B7" s="517" t="s">
        <v>272</v>
      </c>
      <c r="C7" s="518"/>
      <c r="D7" s="519"/>
      <c r="E7" s="517" t="s">
        <v>273</v>
      </c>
      <c r="F7" s="518"/>
      <c r="G7" s="518"/>
      <c r="H7" s="518"/>
      <c r="I7" s="519"/>
      <c r="J7" s="517" t="s">
        <v>274</v>
      </c>
      <c r="K7" s="518"/>
      <c r="L7" s="519"/>
      <c r="M7" s="517" t="s">
        <v>347</v>
      </c>
      <c r="N7" s="518"/>
      <c r="O7" s="519"/>
    </row>
    <row r="8" spans="2:15" ht="92.25" customHeight="1">
      <c r="B8" s="520" t="str">
        <f>+'Data Entry'!B27</f>
        <v>F1: Budget and disbursements by Global Fund</v>
      </c>
      <c r="C8" s="521"/>
      <c r="D8" s="522"/>
      <c r="E8" s="527" t="s">
        <v>394</v>
      </c>
      <c r="F8" s="528"/>
      <c r="G8" s="528"/>
      <c r="H8" s="528"/>
      <c r="I8" s="529"/>
      <c r="J8" s="514" t="s">
        <v>348</v>
      </c>
      <c r="K8" s="515"/>
      <c r="L8" s="516"/>
      <c r="M8" s="514" t="s">
        <v>395</v>
      </c>
      <c r="N8" s="515"/>
      <c r="O8" s="516"/>
    </row>
    <row r="9" spans="2:15" ht="117.75" customHeight="1">
      <c r="B9" s="520" t="str">
        <f>+'Data Entry'!B36</f>
        <v>F2: Budget and actual expenditures by Grant Objective</v>
      </c>
      <c r="C9" s="521"/>
      <c r="D9" s="522"/>
      <c r="E9" s="511" t="s">
        <v>356</v>
      </c>
      <c r="F9" s="512"/>
      <c r="G9" s="512"/>
      <c r="H9" s="512"/>
      <c r="I9" s="513"/>
      <c r="J9" s="514" t="s">
        <v>350</v>
      </c>
      <c r="K9" s="515"/>
      <c r="L9" s="516"/>
      <c r="M9" s="514" t="s">
        <v>395</v>
      </c>
      <c r="N9" s="515"/>
      <c r="O9" s="516"/>
    </row>
    <row r="10" spans="2:15" ht="152.25" customHeight="1">
      <c r="B10" s="530" t="str">
        <f>+'Data Entry'!B49</f>
        <v>F3: Disbursements and expenditures</v>
      </c>
      <c r="C10" s="533"/>
      <c r="D10" s="534"/>
      <c r="E10" s="511" t="s">
        <v>396</v>
      </c>
      <c r="F10" s="512"/>
      <c r="G10" s="512"/>
      <c r="H10" s="512"/>
      <c r="I10" s="513"/>
      <c r="J10" s="514" t="s">
        <v>357</v>
      </c>
      <c r="K10" s="515"/>
      <c r="L10" s="516"/>
      <c r="M10" s="514" t="s">
        <v>349</v>
      </c>
      <c r="N10" s="515"/>
      <c r="O10" s="516"/>
    </row>
    <row r="11" spans="2:15" ht="279.75" customHeight="1">
      <c r="B11" s="530" t="str">
        <f>+'Data Entry'!B58</f>
        <v>F4: Latest PR reporting and disbursement cycle</v>
      </c>
      <c r="C11" s="531"/>
      <c r="D11" s="532"/>
      <c r="E11" s="511" t="s">
        <v>408</v>
      </c>
      <c r="F11" s="512"/>
      <c r="G11" s="512"/>
      <c r="H11" s="512"/>
      <c r="I11" s="513"/>
      <c r="J11" s="514" t="s">
        <v>358</v>
      </c>
      <c r="K11" s="515"/>
      <c r="L11" s="516"/>
      <c r="M11" s="514" t="s">
        <v>277</v>
      </c>
      <c r="N11" s="515"/>
      <c r="O11" s="516"/>
    </row>
    <row r="12" spans="2:15" s="19" customFormat="1" ht="15">
      <c r="B12" s="535"/>
      <c r="C12" s="535"/>
      <c r="D12" s="535"/>
      <c r="E12" s="536"/>
      <c r="F12" s="536"/>
      <c r="G12" s="536"/>
      <c r="H12" s="536"/>
      <c r="I12" s="536"/>
      <c r="J12" s="536"/>
      <c r="K12" s="536"/>
      <c r="L12" s="536"/>
      <c r="M12" s="536"/>
      <c r="N12" s="536"/>
      <c r="O12" s="536"/>
    </row>
    <row r="13" spans="2:15" s="19" customFormat="1" ht="15">
      <c r="B13" s="541"/>
      <c r="C13" s="541"/>
      <c r="D13" s="541"/>
      <c r="E13" s="537"/>
      <c r="F13" s="537"/>
      <c r="G13" s="537"/>
      <c r="H13" s="537"/>
      <c r="I13" s="537"/>
      <c r="J13" s="537"/>
      <c r="K13" s="537"/>
      <c r="L13" s="537"/>
      <c r="M13" s="537"/>
      <c r="N13" s="537"/>
      <c r="O13" s="537"/>
    </row>
    <row r="14" spans="2:15" s="19" customFormat="1" ht="15">
      <c r="B14" s="541"/>
      <c r="C14" s="541"/>
      <c r="D14" s="541"/>
      <c r="E14" s="537"/>
      <c r="F14" s="537"/>
      <c r="G14" s="537"/>
      <c r="H14" s="537"/>
      <c r="I14" s="537"/>
      <c r="J14" s="537"/>
      <c r="K14" s="537"/>
      <c r="L14" s="537"/>
      <c r="M14" s="537"/>
      <c r="N14" s="537"/>
      <c r="O14" s="537"/>
    </row>
    <row r="15" spans="2:15" s="19" customFormat="1" ht="15">
      <c r="B15" s="541"/>
      <c r="C15" s="541"/>
      <c r="D15" s="541"/>
      <c r="E15" s="537"/>
      <c r="F15" s="537"/>
      <c r="G15" s="537"/>
      <c r="H15" s="537"/>
      <c r="I15" s="537"/>
      <c r="J15" s="537"/>
      <c r="K15" s="537"/>
      <c r="L15" s="537"/>
      <c r="M15" s="537"/>
      <c r="N15" s="537"/>
      <c r="O15" s="537"/>
    </row>
    <row r="16" spans="2:15" ht="23.25">
      <c r="B16" s="526" t="s">
        <v>284</v>
      </c>
      <c r="C16" s="526"/>
      <c r="D16" s="526"/>
      <c r="E16" s="526"/>
      <c r="F16" s="526"/>
      <c r="G16" s="526"/>
      <c r="H16" s="526"/>
      <c r="I16" s="526"/>
      <c r="J16" s="526"/>
      <c r="K16" s="526"/>
      <c r="L16" s="526"/>
      <c r="M16" s="526"/>
      <c r="N16" s="526"/>
      <c r="O16" s="526"/>
    </row>
    <row r="18" spans="2:15" ht="21">
      <c r="B18" s="538" t="s">
        <v>272</v>
      </c>
      <c r="C18" s="539"/>
      <c r="D18" s="540"/>
      <c r="E18" s="538" t="s">
        <v>273</v>
      </c>
      <c r="F18" s="539"/>
      <c r="G18" s="539"/>
      <c r="H18" s="539"/>
      <c r="I18" s="540"/>
      <c r="J18" s="538" t="s">
        <v>274</v>
      </c>
      <c r="K18" s="539"/>
      <c r="L18" s="540"/>
      <c r="M18" s="538" t="s">
        <v>275</v>
      </c>
      <c r="N18" s="539"/>
      <c r="O18" s="540"/>
    </row>
    <row r="19" spans="2:15" ht="114" customHeight="1">
      <c r="B19" s="520" t="str">
        <f>+'Data Entry'!B69</f>
        <v>M1: Status of Conditions Precedent (CPs) and Time Bound Actions (TBAs)</v>
      </c>
      <c r="C19" s="523"/>
      <c r="D19" s="524"/>
      <c r="E19" s="511" t="s">
        <v>282</v>
      </c>
      <c r="F19" s="512"/>
      <c r="G19" s="512"/>
      <c r="H19" s="512"/>
      <c r="I19" s="513"/>
      <c r="J19" s="514" t="s">
        <v>351</v>
      </c>
      <c r="K19" s="515"/>
      <c r="L19" s="516"/>
      <c r="M19" s="514" t="s">
        <v>352</v>
      </c>
      <c r="N19" s="515"/>
      <c r="O19" s="516"/>
    </row>
    <row r="20" spans="2:15" ht="102.75" customHeight="1">
      <c r="B20" s="520" t="str">
        <f>+'Data Entry'!B76</f>
        <v>M2: Status of key PR management positions</v>
      </c>
      <c r="C20" s="523"/>
      <c r="D20" s="524"/>
      <c r="E20" s="511" t="s">
        <v>397</v>
      </c>
      <c r="F20" s="512"/>
      <c r="G20" s="512"/>
      <c r="H20" s="512"/>
      <c r="I20" s="513"/>
      <c r="J20" s="514" t="s">
        <v>279</v>
      </c>
      <c r="K20" s="515"/>
      <c r="L20" s="516"/>
      <c r="M20" s="514" t="s">
        <v>278</v>
      </c>
      <c r="N20" s="515"/>
      <c r="O20" s="516"/>
    </row>
    <row r="21" spans="2:15" ht="111.75" customHeight="1">
      <c r="B21" s="520" t="str">
        <f>+'Data Entry'!B81</f>
        <v>M3: Contractual arrangements (SRs) </v>
      </c>
      <c r="C21" s="523"/>
      <c r="D21" s="524"/>
      <c r="E21" s="587" t="s">
        <v>0</v>
      </c>
      <c r="F21" s="512"/>
      <c r="G21" s="512"/>
      <c r="H21" s="512"/>
      <c r="I21" s="513"/>
      <c r="J21" s="514" t="s">
        <v>353</v>
      </c>
      <c r="K21" s="515"/>
      <c r="L21" s="516"/>
      <c r="M21" s="514" t="s">
        <v>354</v>
      </c>
      <c r="N21" s="515"/>
      <c r="O21" s="516"/>
    </row>
    <row r="22" spans="2:15" ht="74.25" customHeight="1">
      <c r="B22" s="520" t="str">
        <f>+'Data Entry'!B86</f>
        <v>M4: Number of complete reports received on time</v>
      </c>
      <c r="C22" s="523"/>
      <c r="D22" s="524"/>
      <c r="E22" s="587" t="s">
        <v>409</v>
      </c>
      <c r="F22" s="594"/>
      <c r="G22" s="594"/>
      <c r="H22" s="594"/>
      <c r="I22" s="595"/>
      <c r="J22" s="514" t="s">
        <v>359</v>
      </c>
      <c r="K22" s="515"/>
      <c r="L22" s="516"/>
      <c r="M22" s="514" t="s">
        <v>280</v>
      </c>
      <c r="N22" s="515"/>
      <c r="O22" s="516"/>
    </row>
    <row r="23" spans="2:15" ht="207.75" customHeight="1">
      <c r="B23" s="588" t="str">
        <f>+'Data Entry'!B92</f>
        <v>M5: Budget and Procurement of health products, health equipment, medicines and pharmaceuticals</v>
      </c>
      <c r="C23" s="589"/>
      <c r="D23" s="590"/>
      <c r="E23" s="575" t="s">
        <v>360</v>
      </c>
      <c r="F23" s="576"/>
      <c r="G23" s="576"/>
      <c r="H23" s="576"/>
      <c r="I23" s="577"/>
      <c r="J23" s="566" t="s">
        <v>276</v>
      </c>
      <c r="K23" s="567"/>
      <c r="L23" s="568"/>
      <c r="M23" s="566" t="s">
        <v>281</v>
      </c>
      <c r="N23" s="567"/>
      <c r="O23" s="568"/>
    </row>
    <row r="24" spans="2:15" ht="114.75" customHeight="1">
      <c r="B24" s="591"/>
      <c r="C24" s="592"/>
      <c r="D24" s="593"/>
      <c r="E24" s="578" t="s">
        <v>355</v>
      </c>
      <c r="F24" s="579"/>
      <c r="G24" s="579"/>
      <c r="H24" s="579"/>
      <c r="I24" s="580"/>
      <c r="J24" s="569"/>
      <c r="K24" s="570"/>
      <c r="L24" s="571"/>
      <c r="M24" s="569"/>
      <c r="N24" s="570"/>
      <c r="O24" s="571"/>
    </row>
    <row r="25" spans="2:15" ht="409.5" customHeight="1">
      <c r="B25" s="520" t="str">
        <f>+'Data Entry'!B105</f>
        <v>M6: Difference between current and safety stock</v>
      </c>
      <c r="C25" s="523"/>
      <c r="D25" s="524"/>
      <c r="E25" s="584" t="s">
        <v>410</v>
      </c>
      <c r="F25" s="585"/>
      <c r="G25" s="585"/>
      <c r="H25" s="585"/>
      <c r="I25" s="586"/>
      <c r="J25" s="563" t="s">
        <v>361</v>
      </c>
      <c r="K25" s="564"/>
      <c r="L25" s="565"/>
      <c r="M25" s="560" t="s">
        <v>366</v>
      </c>
      <c r="N25" s="561"/>
      <c r="O25" s="562"/>
    </row>
    <row r="29" ht="18.75">
      <c r="B29" s="259"/>
    </row>
    <row r="30" spans="2:15" ht="23.25">
      <c r="B30" s="526" t="s">
        <v>297</v>
      </c>
      <c r="C30" s="526"/>
      <c r="D30" s="526"/>
      <c r="E30" s="526"/>
      <c r="F30" s="526"/>
      <c r="G30" s="526"/>
      <c r="H30" s="526"/>
      <c r="I30" s="526"/>
      <c r="J30" s="526"/>
      <c r="K30" s="526"/>
      <c r="L30" s="526"/>
      <c r="M30" s="526"/>
      <c r="N30" s="526"/>
      <c r="O30" s="526"/>
    </row>
    <row r="32" spans="1:15" ht="28.5" customHeight="1">
      <c r="A32" s="250"/>
      <c r="B32" s="545" t="s">
        <v>345</v>
      </c>
      <c r="C32" s="546"/>
      <c r="D32" s="547"/>
      <c r="E32" s="548" t="s">
        <v>303</v>
      </c>
      <c r="F32" s="549"/>
      <c r="G32" s="549"/>
      <c r="H32" s="549"/>
      <c r="I32" s="550"/>
      <c r="J32" s="548" t="s">
        <v>274</v>
      </c>
      <c r="K32" s="549"/>
      <c r="L32" s="550"/>
      <c r="M32" s="548" t="s">
        <v>275</v>
      </c>
      <c r="N32" s="549"/>
      <c r="O32" s="550"/>
    </row>
    <row r="33" spans="1:15" ht="47.25" customHeight="1">
      <c r="A33" s="251"/>
      <c r="B33" s="596"/>
      <c r="C33" s="597"/>
      <c r="D33" s="598"/>
      <c r="E33" s="581"/>
      <c r="F33" s="582"/>
      <c r="G33" s="582"/>
      <c r="H33" s="582"/>
      <c r="I33" s="583"/>
      <c r="J33" s="572"/>
      <c r="K33" s="573"/>
      <c r="L33" s="574"/>
      <c r="M33" s="572"/>
      <c r="N33" s="573"/>
      <c r="O33" s="574"/>
    </row>
    <row r="34" spans="1:15" ht="59.25" customHeight="1">
      <c r="A34" s="251"/>
      <c r="B34" s="596"/>
      <c r="C34" s="597"/>
      <c r="D34" s="598"/>
      <c r="E34" s="581"/>
      <c r="F34" s="582"/>
      <c r="G34" s="582"/>
      <c r="H34" s="582"/>
      <c r="I34" s="583"/>
      <c r="J34" s="572"/>
      <c r="K34" s="573"/>
      <c r="L34" s="574"/>
      <c r="M34" s="572"/>
      <c r="N34" s="573"/>
      <c r="O34" s="574"/>
    </row>
    <row r="35" spans="1:15" ht="57.75" customHeight="1">
      <c r="A35" s="251"/>
      <c r="B35" s="596"/>
      <c r="C35" s="597"/>
      <c r="D35" s="598"/>
      <c r="E35" s="572"/>
      <c r="F35" s="573"/>
      <c r="G35" s="573"/>
      <c r="H35" s="573"/>
      <c r="I35" s="574"/>
      <c r="J35" s="572"/>
      <c r="K35" s="573"/>
      <c r="L35" s="574"/>
      <c r="M35" s="572"/>
      <c r="N35" s="573"/>
      <c r="O35" s="574"/>
    </row>
    <row r="36" spans="1:15" ht="9.75" customHeight="1">
      <c r="A36" s="251"/>
      <c r="B36" s="599"/>
      <c r="C36" s="600"/>
      <c r="D36" s="601"/>
      <c r="E36" s="252"/>
      <c r="F36" s="253"/>
      <c r="G36" s="253"/>
      <c r="H36" s="253"/>
      <c r="I36" s="254"/>
      <c r="J36" s="272"/>
      <c r="K36" s="273"/>
      <c r="L36" s="274"/>
      <c r="M36" s="272"/>
      <c r="N36" s="273"/>
      <c r="O36" s="274"/>
    </row>
    <row r="37" spans="1:15" ht="46.5" customHeight="1">
      <c r="A37" s="251"/>
      <c r="B37" s="596"/>
      <c r="C37" s="597"/>
      <c r="D37" s="598"/>
      <c r="E37" s="572"/>
      <c r="F37" s="602"/>
      <c r="G37" s="602"/>
      <c r="H37" s="602"/>
      <c r="I37" s="603"/>
      <c r="J37" s="267"/>
      <c r="K37" s="268"/>
      <c r="L37" s="269"/>
      <c r="M37" s="267"/>
      <c r="N37" s="268"/>
      <c r="O37" s="269"/>
    </row>
    <row r="38" spans="1:15" ht="69" customHeight="1">
      <c r="A38" s="251"/>
      <c r="B38" s="596"/>
      <c r="C38" s="597"/>
      <c r="D38" s="598"/>
      <c r="E38" s="581"/>
      <c r="F38" s="582"/>
      <c r="G38" s="582"/>
      <c r="H38" s="582"/>
      <c r="I38" s="583"/>
      <c r="J38" s="572"/>
      <c r="K38" s="573"/>
      <c r="L38" s="574"/>
      <c r="M38" s="572"/>
      <c r="N38" s="573"/>
      <c r="O38" s="574"/>
    </row>
    <row r="39" spans="1:15" ht="64.5" customHeight="1">
      <c r="A39" s="251"/>
      <c r="B39" s="596"/>
      <c r="C39" s="597"/>
      <c r="D39" s="598"/>
      <c r="E39" s="572"/>
      <c r="F39" s="573"/>
      <c r="G39" s="573"/>
      <c r="H39" s="573"/>
      <c r="I39" s="574"/>
      <c r="J39" s="267"/>
      <c r="K39" s="268"/>
      <c r="L39" s="269"/>
      <c r="M39" s="267"/>
      <c r="N39" s="268"/>
      <c r="O39" s="269"/>
    </row>
    <row r="40" spans="1:15" ht="45" customHeight="1">
      <c r="A40" s="251"/>
      <c r="B40" s="610"/>
      <c r="C40" s="611"/>
      <c r="D40" s="612"/>
      <c r="E40" s="607"/>
      <c r="F40" s="608"/>
      <c r="G40" s="608"/>
      <c r="H40" s="608"/>
      <c r="I40" s="609"/>
      <c r="J40" s="572"/>
      <c r="K40" s="573"/>
      <c r="L40" s="574"/>
      <c r="M40" s="572"/>
      <c r="N40" s="573"/>
      <c r="O40" s="574"/>
    </row>
    <row r="41" spans="1:15" ht="62.25" customHeight="1">
      <c r="A41" s="251"/>
      <c r="B41" s="604"/>
      <c r="C41" s="605"/>
      <c r="D41" s="606"/>
      <c r="E41" s="581"/>
      <c r="F41" s="582"/>
      <c r="G41" s="582"/>
      <c r="H41" s="582"/>
      <c r="I41" s="583"/>
      <c r="J41" s="572"/>
      <c r="K41" s="573"/>
      <c r="L41" s="574"/>
      <c r="M41" s="572"/>
      <c r="N41" s="573"/>
      <c r="O41" s="574"/>
    </row>
    <row r="42" spans="1:15" ht="84" customHeight="1">
      <c r="A42" s="251"/>
      <c r="B42" s="604"/>
      <c r="C42" s="605"/>
      <c r="D42" s="606"/>
      <c r="E42" s="572"/>
      <c r="F42" s="573"/>
      <c r="G42" s="573"/>
      <c r="H42" s="573"/>
      <c r="I42" s="574"/>
      <c r="J42" s="267"/>
      <c r="K42" s="268"/>
      <c r="L42" s="269"/>
      <c r="M42" s="267"/>
      <c r="N42" s="268"/>
      <c r="O42" s="269"/>
    </row>
    <row r="43" spans="1:15" ht="45" customHeight="1">
      <c r="A43" s="251"/>
      <c r="B43" s="604"/>
      <c r="C43" s="605"/>
      <c r="D43" s="606"/>
      <c r="E43" s="581"/>
      <c r="F43" s="582"/>
      <c r="G43" s="582"/>
      <c r="H43" s="582"/>
      <c r="I43" s="583"/>
      <c r="J43" s="572"/>
      <c r="K43" s="573"/>
      <c r="L43" s="574"/>
      <c r="M43" s="267"/>
      <c r="N43" s="268"/>
      <c r="O43" s="269"/>
    </row>
    <row r="44" spans="1:15" ht="64.5" customHeight="1">
      <c r="A44" s="251"/>
      <c r="B44" s="610"/>
      <c r="C44" s="611"/>
      <c r="D44" s="612"/>
      <c r="E44" s="581"/>
      <c r="F44" s="582"/>
      <c r="G44" s="582"/>
      <c r="H44" s="582"/>
      <c r="I44" s="583"/>
      <c r="J44" s="572"/>
      <c r="K44" s="573"/>
      <c r="L44" s="574"/>
      <c r="M44" s="267"/>
      <c r="N44" s="268"/>
      <c r="O44" s="269"/>
    </row>
    <row r="45" spans="2:15" ht="49.5" customHeight="1">
      <c r="B45" s="610"/>
      <c r="C45" s="611"/>
      <c r="D45" s="612"/>
      <c r="E45" s="581"/>
      <c r="F45" s="582"/>
      <c r="G45" s="582"/>
      <c r="H45" s="582"/>
      <c r="I45" s="583"/>
      <c r="J45" s="572"/>
      <c r="K45" s="573"/>
      <c r="L45" s="574"/>
      <c r="M45" s="267"/>
      <c r="N45" s="268"/>
      <c r="O45" s="269"/>
    </row>
    <row r="46" spans="2:15" ht="30" customHeight="1">
      <c r="B46" s="613"/>
      <c r="C46" s="614"/>
      <c r="D46" s="615"/>
      <c r="E46" s="255"/>
      <c r="F46" s="256"/>
      <c r="G46" s="256"/>
      <c r="H46" s="256"/>
      <c r="I46" s="257"/>
      <c r="J46" s="267"/>
      <c r="K46" s="268"/>
      <c r="L46" s="269"/>
      <c r="M46" s="267"/>
      <c r="N46" s="268"/>
      <c r="O46" s="269"/>
    </row>
    <row r="47" spans="2:15" ht="44.25" customHeight="1">
      <c r="B47" s="554" t="s">
        <v>298</v>
      </c>
      <c r="C47" s="555"/>
      <c r="D47" s="556"/>
      <c r="E47" s="557" t="s">
        <v>273</v>
      </c>
      <c r="F47" s="558"/>
      <c r="G47" s="558"/>
      <c r="H47" s="558"/>
      <c r="I47" s="559"/>
      <c r="J47" s="557" t="s">
        <v>274</v>
      </c>
      <c r="K47" s="558"/>
      <c r="L47" s="559"/>
      <c r="M47" s="557" t="s">
        <v>275</v>
      </c>
      <c r="N47" s="558"/>
      <c r="O47" s="559"/>
    </row>
    <row r="48" spans="2:15" ht="33.75" customHeight="1">
      <c r="B48" s="246"/>
      <c r="C48" s="247"/>
      <c r="D48" s="247"/>
      <c r="E48" s="240"/>
      <c r="F48" s="242"/>
      <c r="G48" s="242"/>
      <c r="H48" s="242"/>
      <c r="I48" s="242"/>
      <c r="J48" s="240"/>
      <c r="K48" s="240"/>
      <c r="L48" s="241"/>
      <c r="M48" s="239"/>
      <c r="N48" s="240"/>
      <c r="O48" s="241"/>
    </row>
    <row r="49" spans="2:15" ht="15.75" customHeight="1">
      <c r="B49" s="551" t="s">
        <v>295</v>
      </c>
      <c r="C49" s="552"/>
      <c r="D49" s="552"/>
      <c r="E49" s="552"/>
      <c r="F49" s="552"/>
      <c r="G49" s="552"/>
      <c r="H49" s="552"/>
      <c r="I49" s="552"/>
      <c r="J49" s="552"/>
      <c r="K49" s="552"/>
      <c r="L49" s="553"/>
      <c r="M49" s="542" t="s">
        <v>285</v>
      </c>
      <c r="N49" s="543"/>
      <c r="O49" s="544"/>
    </row>
    <row r="50" ht="15">
      <c r="D50" s="226"/>
    </row>
    <row r="52" ht="15">
      <c r="D52" s="226"/>
    </row>
    <row r="53" ht="15">
      <c r="D53" s="226"/>
    </row>
  </sheetData>
  <sheetProtection/>
  <mergeCells count="120">
    <mergeCell ref="B46:D46"/>
    <mergeCell ref="J43:L43"/>
    <mergeCell ref="J44:L44"/>
    <mergeCell ref="J45:L45"/>
    <mergeCell ref="E44:I44"/>
    <mergeCell ref="B44:D44"/>
    <mergeCell ref="B45:D45"/>
    <mergeCell ref="E45:I45"/>
    <mergeCell ref="B43:D43"/>
    <mergeCell ref="E42:I42"/>
    <mergeCell ref="E43:I43"/>
    <mergeCell ref="B42:D42"/>
    <mergeCell ref="E40:I40"/>
    <mergeCell ref="B41:D41"/>
    <mergeCell ref="B40:D40"/>
    <mergeCell ref="E41:I41"/>
    <mergeCell ref="J40:L40"/>
    <mergeCell ref="M40:O40"/>
    <mergeCell ref="B39:D39"/>
    <mergeCell ref="M38:O38"/>
    <mergeCell ref="E39:I39"/>
    <mergeCell ref="B37:D37"/>
    <mergeCell ref="B35:D35"/>
    <mergeCell ref="J35:L35"/>
    <mergeCell ref="B38:D38"/>
    <mergeCell ref="E38:I38"/>
    <mergeCell ref="J38:L38"/>
    <mergeCell ref="B36:D36"/>
    <mergeCell ref="E37:I37"/>
    <mergeCell ref="E35:I35"/>
    <mergeCell ref="M33:O33"/>
    <mergeCell ref="M34:O34"/>
    <mergeCell ref="B25:D25"/>
    <mergeCell ref="B33:D33"/>
    <mergeCell ref="B34:D34"/>
    <mergeCell ref="J33:L33"/>
    <mergeCell ref="J34:L34"/>
    <mergeCell ref="B20:D20"/>
    <mergeCell ref="E20:I20"/>
    <mergeCell ref="B21:D21"/>
    <mergeCell ref="E21:I21"/>
    <mergeCell ref="B22:D22"/>
    <mergeCell ref="B23:D24"/>
    <mergeCell ref="E22:I22"/>
    <mergeCell ref="M47:O47"/>
    <mergeCell ref="J41:L41"/>
    <mergeCell ref="M41:O41"/>
    <mergeCell ref="M35:O35"/>
    <mergeCell ref="M23:O24"/>
    <mergeCell ref="E23:I23"/>
    <mergeCell ref="E24:I24"/>
    <mergeCell ref="E33:I33"/>
    <mergeCell ref="E34:I34"/>
    <mergeCell ref="E25:I25"/>
    <mergeCell ref="J22:L22"/>
    <mergeCell ref="J20:L20"/>
    <mergeCell ref="M20:O20"/>
    <mergeCell ref="M25:O25"/>
    <mergeCell ref="J25:L25"/>
    <mergeCell ref="J21:L21"/>
    <mergeCell ref="M21:O21"/>
    <mergeCell ref="J23:L24"/>
    <mergeCell ref="M22:O22"/>
    <mergeCell ref="M49:O49"/>
    <mergeCell ref="B30:O30"/>
    <mergeCell ref="B32:D32"/>
    <mergeCell ref="E32:I32"/>
    <mergeCell ref="J32:L32"/>
    <mergeCell ref="M32:O32"/>
    <mergeCell ref="B49:L49"/>
    <mergeCell ref="B47:D47"/>
    <mergeCell ref="E47:I47"/>
    <mergeCell ref="J47:L47"/>
    <mergeCell ref="B18:D18"/>
    <mergeCell ref="B15:D15"/>
    <mergeCell ref="B13:D13"/>
    <mergeCell ref="B16:O16"/>
    <mergeCell ref="J15:L15"/>
    <mergeCell ref="E13:I13"/>
    <mergeCell ref="J13:L13"/>
    <mergeCell ref="M14:O14"/>
    <mergeCell ref="B14:D14"/>
    <mergeCell ref="E14:I14"/>
    <mergeCell ref="M19:O19"/>
    <mergeCell ref="M15:O15"/>
    <mergeCell ref="M13:O13"/>
    <mergeCell ref="M18:O18"/>
    <mergeCell ref="J14:L14"/>
    <mergeCell ref="E15:I15"/>
    <mergeCell ref="E19:I19"/>
    <mergeCell ref="J19:L19"/>
    <mergeCell ref="E18:I18"/>
    <mergeCell ref="J18:L18"/>
    <mergeCell ref="E11:I11"/>
    <mergeCell ref="B12:D12"/>
    <mergeCell ref="J11:L11"/>
    <mergeCell ref="M11:O11"/>
    <mergeCell ref="J12:L12"/>
    <mergeCell ref="M12:O12"/>
    <mergeCell ref="E12:I12"/>
    <mergeCell ref="B19:D19"/>
    <mergeCell ref="B2:M2"/>
    <mergeCell ref="B5:O5"/>
    <mergeCell ref="M8:O8"/>
    <mergeCell ref="J8:L8"/>
    <mergeCell ref="E7:I7"/>
    <mergeCell ref="B7:D7"/>
    <mergeCell ref="E8:I8"/>
    <mergeCell ref="B11:D11"/>
    <mergeCell ref="B10:D10"/>
    <mergeCell ref="E10:I10"/>
    <mergeCell ref="J10:L10"/>
    <mergeCell ref="J7:L7"/>
    <mergeCell ref="M7:O7"/>
    <mergeCell ref="M10:O10"/>
    <mergeCell ref="B8:D8"/>
    <mergeCell ref="M9:O9"/>
    <mergeCell ref="B9:D9"/>
    <mergeCell ref="E9:I9"/>
    <mergeCell ref="J9:L9"/>
  </mergeCells>
  <printOptions/>
  <pageMargins left="0.7086614173228347" right="0.7086614173228347" top="0.7480314960629921" bottom="0.7480314960629921" header="0.31496062992125984" footer="0.31496062992125984"/>
  <pageSetup horizontalDpi="600" verticalDpi="600" orientation="landscape" paperSize="9" r:id="rId2"/>
  <headerFooter alignWithMargins="0">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sheetPr>
    <tabColor rgb="FFFFC000"/>
  </sheetPr>
  <dimension ref="A1:AJ152"/>
  <sheetViews>
    <sheetView showGridLines="0" tabSelected="1" zoomScale="90" zoomScaleNormal="90" zoomScalePageLayoutView="0" workbookViewId="0" topLeftCell="A125">
      <selection activeCell="F138" sqref="F138:F139"/>
    </sheetView>
  </sheetViews>
  <sheetFormatPr defaultColWidth="11.00390625" defaultRowHeight="15"/>
  <cols>
    <col min="1" max="1" width="2.7109375" style="0" customWidth="1"/>
    <col min="2" max="2" width="46.140625" style="0" customWidth="1"/>
    <col min="3" max="3" width="23.00390625" style="0" customWidth="1"/>
    <col min="4" max="4" width="19.140625" style="0" customWidth="1"/>
    <col min="5" max="5" width="16.421875" style="0" customWidth="1"/>
    <col min="6" max="6" width="17.421875" style="0" customWidth="1"/>
    <col min="7" max="7" width="16.421875" style="0" customWidth="1"/>
    <col min="8" max="8" width="17.57421875" style="0" customWidth="1"/>
    <col min="9" max="9" width="16.28125" style="0" customWidth="1"/>
    <col min="10" max="10" width="16.8515625" style="0" customWidth="1"/>
    <col min="11" max="11" width="16.00390625" style="0" customWidth="1"/>
    <col min="12" max="12" width="15.28125" style="0" customWidth="1"/>
    <col min="13" max="13" width="15.421875" style="0" customWidth="1"/>
    <col min="14" max="14" width="14.28125" style="36" customWidth="1"/>
    <col min="15" max="15" width="15.57421875" style="36" customWidth="1"/>
    <col min="16" max="16" width="19.421875" style="0" customWidth="1"/>
    <col min="17" max="17" width="16.140625" style="0" customWidth="1"/>
    <col min="18" max="18" width="13.7109375" style="0" customWidth="1"/>
    <col min="19" max="19" width="13.421875" style="0" customWidth="1"/>
    <col min="20" max="20" width="14.8515625" style="0" customWidth="1"/>
    <col min="21" max="21" width="16.00390625" style="0" customWidth="1"/>
    <col min="22" max="22" width="11.421875"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36" customWidth="1"/>
    <col min="35" max="35" width="3.28125" style="36" customWidth="1"/>
    <col min="36" max="36" width="2.28125" style="36" customWidth="1"/>
    <col min="37" max="37" width="40.7109375" style="0" customWidth="1"/>
    <col min="38" max="38" width="15.421875" style="0" customWidth="1"/>
  </cols>
  <sheetData>
    <row r="1" spans="1:13" ht="29.25" customHeight="1">
      <c r="A1" s="3"/>
      <c r="B1" s="3"/>
      <c r="C1" s="3"/>
      <c r="D1" s="3"/>
      <c r="E1" s="3"/>
      <c r="F1" s="3"/>
      <c r="G1" s="3"/>
      <c r="H1" s="3"/>
      <c r="I1" s="3"/>
      <c r="J1" s="3"/>
      <c r="K1" s="3"/>
      <c r="L1" s="3"/>
      <c r="M1" s="3"/>
    </row>
    <row r="2" spans="1:13" ht="15.75" customHeight="1">
      <c r="A2" s="3"/>
      <c r="B2" s="663" t="s">
        <v>374</v>
      </c>
      <c r="C2" s="663"/>
      <c r="D2" s="663"/>
      <c r="E2" s="663"/>
      <c r="F2" s="663"/>
      <c r="G2" s="663"/>
      <c r="H2" s="663"/>
      <c r="I2" s="663"/>
      <c r="J2" s="663"/>
      <c r="K2" s="291"/>
      <c r="L2" s="291"/>
      <c r="M2" s="291"/>
    </row>
    <row r="3" spans="1:13" ht="4.5" customHeight="1">
      <c r="A3" s="3"/>
      <c r="B3" s="3"/>
      <c r="C3" s="3"/>
      <c r="D3" s="3"/>
      <c r="E3" s="3"/>
      <c r="F3" s="3"/>
      <c r="G3" s="3"/>
      <c r="H3" s="3"/>
      <c r="I3" s="3"/>
      <c r="J3" s="3"/>
      <c r="K3" s="3"/>
      <c r="L3" s="3"/>
      <c r="M3" s="3"/>
    </row>
    <row r="4" spans="1:13" ht="15">
      <c r="A4" s="3"/>
      <c r="B4" s="289" t="s">
        <v>26</v>
      </c>
      <c r="C4" s="661" t="s">
        <v>177</v>
      </c>
      <c r="D4" s="662"/>
      <c r="E4" s="687" t="s">
        <v>12</v>
      </c>
      <c r="F4" s="687"/>
      <c r="G4" s="661" t="s">
        <v>428</v>
      </c>
      <c r="H4" s="681"/>
      <c r="I4" s="681"/>
      <c r="J4" s="662"/>
      <c r="K4" s="3"/>
      <c r="L4" s="3"/>
      <c r="M4" s="3"/>
    </row>
    <row r="5" spans="1:13" ht="3" customHeight="1">
      <c r="A5" s="3"/>
      <c r="B5" s="289"/>
      <c r="C5" s="3"/>
      <c r="D5" s="3"/>
      <c r="E5" s="292"/>
      <c r="F5" s="292"/>
      <c r="G5" s="3"/>
      <c r="H5" s="3"/>
      <c r="I5" s="3"/>
      <c r="J5" s="3"/>
      <c r="K5" s="3"/>
      <c r="L5" s="3"/>
      <c r="M5" s="3"/>
    </row>
    <row r="6" spans="1:13" ht="15">
      <c r="A6" s="3"/>
      <c r="B6" s="289" t="s">
        <v>116</v>
      </c>
      <c r="C6" s="661" t="s">
        <v>444</v>
      </c>
      <c r="D6" s="662"/>
      <c r="E6" s="687" t="s">
        <v>27</v>
      </c>
      <c r="F6" s="687"/>
      <c r="G6" s="323" t="s">
        <v>35</v>
      </c>
      <c r="H6" s="289" t="s">
        <v>321</v>
      </c>
      <c r="I6" s="678">
        <v>24902844</v>
      </c>
      <c r="J6" s="679"/>
      <c r="K6" s="3"/>
      <c r="L6" s="3"/>
      <c r="M6" s="3"/>
    </row>
    <row r="7" spans="1:13" ht="3" customHeight="1">
      <c r="A7" s="3"/>
      <c r="B7" s="289"/>
      <c r="C7" s="3"/>
      <c r="D7" s="3"/>
      <c r="E7" s="292"/>
      <c r="F7" s="292"/>
      <c r="G7" s="3"/>
      <c r="H7" s="289"/>
      <c r="I7" s="3"/>
      <c r="J7" s="3"/>
      <c r="K7" s="3"/>
      <c r="L7" s="3"/>
      <c r="M7" s="3"/>
    </row>
    <row r="8" spans="1:13" ht="15">
      <c r="A8" s="3"/>
      <c r="B8" s="289" t="s">
        <v>268</v>
      </c>
      <c r="C8" s="661" t="s">
        <v>427</v>
      </c>
      <c r="D8" s="662"/>
      <c r="E8" s="293"/>
      <c r="F8" s="288" t="s">
        <v>323</v>
      </c>
      <c r="G8" s="418"/>
      <c r="H8" s="288" t="s">
        <v>322</v>
      </c>
      <c r="I8" s="661"/>
      <c r="J8" s="662"/>
      <c r="K8" s="3"/>
      <c r="L8" s="3"/>
      <c r="M8" s="3"/>
    </row>
    <row r="9" spans="1:13" ht="3" customHeight="1">
      <c r="A9" s="3"/>
      <c r="B9" s="292"/>
      <c r="C9" s="3"/>
      <c r="D9" s="3"/>
      <c r="E9" s="292"/>
      <c r="F9" s="292"/>
      <c r="G9" s="3"/>
      <c r="H9" s="3"/>
      <c r="I9" s="3"/>
      <c r="J9" s="3"/>
      <c r="K9" s="3"/>
      <c r="L9" s="3"/>
      <c r="M9" s="3"/>
    </row>
    <row r="10" spans="1:13" ht="15">
      <c r="A10" s="3"/>
      <c r="B10" s="289" t="s">
        <v>404</v>
      </c>
      <c r="C10" s="685">
        <v>42186</v>
      </c>
      <c r="D10" s="686"/>
      <c r="E10" s="684" t="s">
        <v>31</v>
      </c>
      <c r="F10" s="683"/>
      <c r="G10" s="661" t="s">
        <v>57</v>
      </c>
      <c r="H10" s="681"/>
      <c r="I10" s="681"/>
      <c r="J10" s="662"/>
      <c r="K10" s="3"/>
      <c r="L10" s="3"/>
      <c r="M10" s="3"/>
    </row>
    <row r="11" spans="1:13" ht="5.25" customHeight="1">
      <c r="A11" s="3"/>
      <c r="B11" s="3"/>
      <c r="C11" s="3"/>
      <c r="D11" s="3"/>
      <c r="E11" s="3"/>
      <c r="F11" s="3"/>
      <c r="G11" s="3"/>
      <c r="H11" s="3"/>
      <c r="I11" s="3"/>
      <c r="J11" s="3"/>
      <c r="K11" s="3"/>
      <c r="L11" s="3"/>
      <c r="M11" s="3"/>
    </row>
    <row r="12" spans="1:13" ht="15" customHeight="1">
      <c r="A12" s="3"/>
      <c r="B12" s="289" t="s">
        <v>29</v>
      </c>
      <c r="C12" s="650"/>
      <c r="D12" s="650"/>
      <c r="E12" s="684" t="s">
        <v>289</v>
      </c>
      <c r="F12" s="687"/>
      <c r="G12" s="680" t="s">
        <v>445</v>
      </c>
      <c r="H12" s="680"/>
      <c r="I12" s="680"/>
      <c r="J12" s="680"/>
      <c r="K12" s="3"/>
      <c r="L12" s="3"/>
      <c r="M12" s="3"/>
    </row>
    <row r="13" spans="1:13" ht="5.25" customHeight="1">
      <c r="A13" s="3"/>
      <c r="B13" s="3"/>
      <c r="C13" s="3"/>
      <c r="D13" s="3"/>
      <c r="E13" s="3"/>
      <c r="F13" s="3"/>
      <c r="G13" s="3"/>
      <c r="H13" s="3"/>
      <c r="I13" s="3"/>
      <c r="J13" s="3"/>
      <c r="K13" s="3"/>
      <c r="L13" s="3"/>
      <c r="M13" s="3"/>
    </row>
    <row r="14" spans="1:13" ht="15.75" customHeight="1">
      <c r="A14" s="3"/>
      <c r="B14" s="663" t="s">
        <v>2</v>
      </c>
      <c r="C14" s="663"/>
      <c r="D14" s="663"/>
      <c r="E14" s="663"/>
      <c r="F14" s="663"/>
      <c r="G14" s="663"/>
      <c r="H14" s="663"/>
      <c r="I14" s="663"/>
      <c r="J14" s="663"/>
      <c r="K14" s="3"/>
      <c r="L14" s="3"/>
      <c r="M14" s="3"/>
    </row>
    <row r="15" spans="1:13" ht="3" customHeight="1">
      <c r="A15" s="3"/>
      <c r="B15" s="3"/>
      <c r="C15" s="3"/>
      <c r="D15" s="3"/>
      <c r="E15" s="3"/>
      <c r="F15" s="3"/>
      <c r="G15" s="3"/>
      <c r="H15" s="3"/>
      <c r="I15" s="3"/>
      <c r="J15" s="3"/>
      <c r="K15" s="3"/>
      <c r="L15" s="3"/>
      <c r="M15" s="3"/>
    </row>
    <row r="16" spans="1:13" ht="15">
      <c r="A16" s="3"/>
      <c r="B16" s="289" t="s">
        <v>21</v>
      </c>
      <c r="C16" s="418" t="s">
        <v>107</v>
      </c>
      <c r="D16" s="288" t="s">
        <v>324</v>
      </c>
      <c r="E16" s="294">
        <v>42278</v>
      </c>
      <c r="F16" s="290" t="s">
        <v>8</v>
      </c>
      <c r="G16" s="294">
        <v>42369</v>
      </c>
      <c r="H16" s="684" t="s">
        <v>325</v>
      </c>
      <c r="I16" s="683"/>
      <c r="J16" s="294">
        <v>42415</v>
      </c>
      <c r="K16" s="3"/>
      <c r="L16" s="3"/>
      <c r="M16" s="3"/>
    </row>
    <row r="17" spans="1:13" ht="3" customHeight="1">
      <c r="A17" s="3"/>
      <c r="B17" s="3"/>
      <c r="C17" s="3"/>
      <c r="D17" s="3"/>
      <c r="E17" s="3"/>
      <c r="F17" s="3"/>
      <c r="G17" s="3"/>
      <c r="H17" s="3"/>
      <c r="I17" s="3"/>
      <c r="J17" s="3"/>
      <c r="K17" s="3"/>
      <c r="L17" s="3"/>
      <c r="M17" s="3"/>
    </row>
    <row r="18" spans="1:13" ht="15">
      <c r="A18" s="3"/>
      <c r="B18" s="682" t="s">
        <v>32</v>
      </c>
      <c r="C18" s="683"/>
      <c r="D18" s="651" t="s">
        <v>463</v>
      </c>
      <c r="E18" s="651"/>
      <c r="F18" s="651"/>
      <c r="G18" s="295"/>
      <c r="H18" s="295"/>
      <c r="I18" s="295"/>
      <c r="J18" s="295"/>
      <c r="K18" s="3"/>
      <c r="L18" s="3"/>
      <c r="M18" s="3"/>
    </row>
    <row r="19" spans="1:13" ht="3" customHeight="1">
      <c r="A19" s="3"/>
      <c r="B19" s="3"/>
      <c r="C19" s="3"/>
      <c r="D19" s="3"/>
      <c r="E19" s="3"/>
      <c r="F19" s="3"/>
      <c r="G19" s="3"/>
      <c r="H19" s="3"/>
      <c r="I19" s="3"/>
      <c r="J19" s="3"/>
      <c r="K19" s="3"/>
      <c r="L19" s="3"/>
      <c r="M19" s="3"/>
    </row>
    <row r="20" spans="1:13" ht="5.25" customHeight="1">
      <c r="A20" s="3"/>
      <c r="B20" s="3"/>
      <c r="C20" s="3"/>
      <c r="D20" s="3"/>
      <c r="E20" s="3"/>
      <c r="F20" s="3"/>
      <c r="G20" s="3"/>
      <c r="H20" s="3"/>
      <c r="I20" s="3"/>
      <c r="J20" s="3"/>
      <c r="K20" s="3"/>
      <c r="L20" s="3"/>
      <c r="M20" s="3"/>
    </row>
    <row r="21" spans="1:13" ht="15.75" customHeight="1">
      <c r="A21" s="3"/>
      <c r="B21" s="663" t="s">
        <v>362</v>
      </c>
      <c r="C21" s="663"/>
      <c r="D21" s="663"/>
      <c r="E21" s="663"/>
      <c r="F21" s="663"/>
      <c r="G21" s="663"/>
      <c r="H21" s="663"/>
      <c r="I21" s="663"/>
      <c r="J21" s="663"/>
      <c r="K21" s="3"/>
      <c r="L21" s="3"/>
      <c r="M21" s="3"/>
    </row>
    <row r="22" spans="1:13" ht="15">
      <c r="A22" s="3"/>
      <c r="B22" s="292" t="s">
        <v>3</v>
      </c>
      <c r="C22" s="3"/>
      <c r="D22" s="3"/>
      <c r="E22" s="296"/>
      <c r="F22" s="296"/>
      <c r="G22" s="3"/>
      <c r="H22" s="3"/>
      <c r="I22" s="296"/>
      <c r="J22" s="296"/>
      <c r="K22" s="3"/>
      <c r="L22" s="3"/>
      <c r="M22" s="3"/>
    </row>
    <row r="23" spans="1:13" ht="3" customHeight="1">
      <c r="A23" s="3"/>
      <c r="B23" s="3"/>
      <c r="C23" s="3"/>
      <c r="D23" s="3"/>
      <c r="E23" s="3"/>
      <c r="F23" s="3"/>
      <c r="G23" s="3"/>
      <c r="H23" s="3"/>
      <c r="I23" s="3"/>
      <c r="J23" s="3"/>
      <c r="K23" s="3"/>
      <c r="L23" s="3"/>
      <c r="M23" s="3"/>
    </row>
    <row r="24" spans="1:14" ht="15.75" thickBot="1">
      <c r="A24" s="3"/>
      <c r="B24" s="289" t="s">
        <v>399</v>
      </c>
      <c r="C24" s="404"/>
      <c r="D24" s="687" t="s">
        <v>400</v>
      </c>
      <c r="E24" s="687"/>
      <c r="F24" s="405"/>
      <c r="G24" s="687" t="s">
        <v>401</v>
      </c>
      <c r="H24" s="687"/>
      <c r="I24" s="676"/>
      <c r="J24" s="677"/>
      <c r="K24" s="3"/>
      <c r="L24" s="3"/>
      <c r="M24" s="3"/>
      <c r="N24" s="20"/>
    </row>
    <row r="25" spans="1:35" ht="19.5" thickBot="1">
      <c r="A25" s="3"/>
      <c r="B25" s="87" t="s">
        <v>399</v>
      </c>
      <c r="C25" s="88"/>
      <c r="D25" s="88"/>
      <c r="E25" s="88"/>
      <c r="F25" s="88"/>
      <c r="G25" s="88"/>
      <c r="H25" s="275"/>
      <c r="I25" s="89"/>
      <c r="J25" s="89"/>
      <c r="K25" s="275" t="s">
        <v>326</v>
      </c>
      <c r="L25" s="88"/>
      <c r="M25" s="88"/>
      <c r="N25" s="425"/>
      <c r="O25" s="40"/>
      <c r="AI25" s="44"/>
    </row>
    <row r="26" spans="1:35" ht="15">
      <c r="A26" s="3"/>
      <c r="B26" s="656" t="s">
        <v>370</v>
      </c>
      <c r="C26" s="657"/>
      <c r="D26" s="439" t="s">
        <v>19</v>
      </c>
      <c r="E26" s="91"/>
      <c r="F26" s="91"/>
      <c r="G26" s="91"/>
      <c r="H26" s="91"/>
      <c r="I26" s="91"/>
      <c r="J26" s="92"/>
      <c r="K26" s="91"/>
      <c r="L26" s="91"/>
      <c r="M26" s="91"/>
      <c r="N26" s="40"/>
      <c r="O26" s="40"/>
      <c r="AI26" s="44"/>
    </row>
    <row r="27" spans="1:35" ht="18.75">
      <c r="A27" s="3"/>
      <c r="B27" s="90" t="s">
        <v>380</v>
      </c>
      <c r="C27" s="91"/>
      <c r="D27" s="91"/>
      <c r="E27" s="91"/>
      <c r="F27" s="91"/>
      <c r="G27" s="91"/>
      <c r="H27" s="91"/>
      <c r="I27" s="91"/>
      <c r="J27" s="92"/>
      <c r="K27" s="91"/>
      <c r="L27" s="91"/>
      <c r="M27" s="91"/>
      <c r="N27" s="40"/>
      <c r="O27" s="40"/>
      <c r="AI27" s="44"/>
    </row>
    <row r="28" spans="1:13" ht="15.75" thickBot="1">
      <c r="A28" s="3"/>
      <c r="B28" s="3"/>
      <c r="C28" s="3"/>
      <c r="D28" s="3"/>
      <c r="E28" s="3"/>
      <c r="F28" s="3"/>
      <c r="G28" s="3"/>
      <c r="H28" s="3"/>
      <c r="I28" s="3"/>
      <c r="J28" s="3"/>
      <c r="K28" s="3"/>
      <c r="L28" s="3"/>
      <c r="M28" s="3"/>
    </row>
    <row r="29" spans="1:19" ht="15.75" thickBot="1">
      <c r="A29" s="3"/>
      <c r="B29" s="696" t="s">
        <v>60</v>
      </c>
      <c r="C29" s="697"/>
      <c r="D29" s="697"/>
      <c r="E29" s="697"/>
      <c r="F29" s="697"/>
      <c r="G29" s="697"/>
      <c r="H29" s="697"/>
      <c r="I29" s="697"/>
      <c r="J29" s="697"/>
      <c r="K29" s="697"/>
      <c r="L29" s="697"/>
      <c r="M29" s="697"/>
      <c r="N29" s="698"/>
      <c r="P29" s="211"/>
      <c r="Q29" s="212"/>
      <c r="R29" s="213">
        <f>+C33</f>
        <v>6031966</v>
      </c>
      <c r="S29" s="211"/>
    </row>
    <row r="30" spans="1:19" ht="15">
      <c r="A30" s="3"/>
      <c r="B30" s="93" t="s">
        <v>267</v>
      </c>
      <c r="C30" s="383" t="s">
        <v>106</v>
      </c>
      <c r="D30" s="383" t="s">
        <v>107</v>
      </c>
      <c r="E30" s="383" t="s">
        <v>108</v>
      </c>
      <c r="F30" s="383" t="s">
        <v>109</v>
      </c>
      <c r="G30" s="383" t="s">
        <v>120</v>
      </c>
      <c r="H30" s="383" t="s">
        <v>121</v>
      </c>
      <c r="I30" s="383" t="s">
        <v>122</v>
      </c>
      <c r="J30" s="383" t="s">
        <v>123</v>
      </c>
      <c r="K30" s="383" t="s">
        <v>124</v>
      </c>
      <c r="L30" s="383" t="s">
        <v>125</v>
      </c>
      <c r="M30" s="383" t="s">
        <v>126</v>
      </c>
      <c r="N30" s="384" t="s">
        <v>287</v>
      </c>
      <c r="O30" s="385" t="s">
        <v>4</v>
      </c>
      <c r="P30" s="211"/>
      <c r="Q30" s="212"/>
      <c r="R30" s="213">
        <f>+D33</f>
        <v>7769728</v>
      </c>
      <c r="S30" s="211"/>
    </row>
    <row r="31" spans="1:19" ht="15">
      <c r="A31" s="3"/>
      <c r="B31" s="285" t="str">
        <f>CONCATENATE("Budget (in ",'Data Entry'!$D$26,")")</f>
        <v>Budget (in $)</v>
      </c>
      <c r="C31" s="395">
        <v>6031966</v>
      </c>
      <c r="D31" s="394">
        <v>1737762</v>
      </c>
      <c r="E31" s="495"/>
      <c r="F31" s="494"/>
      <c r="G31" s="494"/>
      <c r="H31" s="494"/>
      <c r="I31" s="496"/>
      <c r="J31" s="394"/>
      <c r="K31" s="394"/>
      <c r="L31" s="394"/>
      <c r="M31" s="395"/>
      <c r="N31" s="394"/>
      <c r="O31" s="627">
        <f>+SUM(C35:N35)</f>
        <v>0.36922257767582084</v>
      </c>
      <c r="P31" s="211"/>
      <c r="Q31" s="212"/>
      <c r="R31" s="213">
        <f>+E33</f>
        <v>0</v>
      </c>
      <c r="S31" s="211"/>
    </row>
    <row r="32" spans="1:19" ht="15">
      <c r="A32" s="3"/>
      <c r="B32" s="93" t="str">
        <f>CONCATENATE("Disbursements by GF (in ",$D$26,")")</f>
        <v>Disbursements by GF (in $)</v>
      </c>
      <c r="C32" s="395">
        <v>2868759</v>
      </c>
      <c r="D32" s="394">
        <v>0</v>
      </c>
      <c r="E32" s="497"/>
      <c r="F32" s="497"/>
      <c r="G32" s="497"/>
      <c r="H32" s="497"/>
      <c r="I32" s="498"/>
      <c r="J32" s="394"/>
      <c r="K32" s="394"/>
      <c r="L32" s="394"/>
      <c r="M32" s="394"/>
      <c r="N32" s="394"/>
      <c r="O32" s="628"/>
      <c r="P32" s="211"/>
      <c r="Q32" s="212"/>
      <c r="R32" s="213">
        <f>+F33</f>
        <v>0</v>
      </c>
      <c r="S32" s="211"/>
    </row>
    <row r="33" spans="1:19" ht="15">
      <c r="A33" s="3"/>
      <c r="B33" s="94" t="s">
        <v>386</v>
      </c>
      <c r="C33" s="396">
        <f>+C31</f>
        <v>6031966</v>
      </c>
      <c r="D33" s="396">
        <f>IF(AND(D31=0,D32=0),0,+C33+D31)</f>
        <v>7769728</v>
      </c>
      <c r="E33" s="396">
        <f aca="true" t="shared" si="0" ref="E33:N33">IF(AND(E31=0,E32=0),0,+D33+E31)</f>
        <v>0</v>
      </c>
      <c r="F33" s="396">
        <f t="shared" si="0"/>
        <v>0</v>
      </c>
      <c r="G33" s="396">
        <f t="shared" si="0"/>
        <v>0</v>
      </c>
      <c r="H33" s="396">
        <f t="shared" si="0"/>
        <v>0</v>
      </c>
      <c r="I33" s="396">
        <f t="shared" si="0"/>
        <v>0</v>
      </c>
      <c r="J33" s="396">
        <f t="shared" si="0"/>
        <v>0</v>
      </c>
      <c r="K33" s="396">
        <f t="shared" si="0"/>
        <v>0</v>
      </c>
      <c r="L33" s="396">
        <f t="shared" si="0"/>
        <v>0</v>
      </c>
      <c r="M33" s="396">
        <f t="shared" si="0"/>
        <v>0</v>
      </c>
      <c r="N33" s="396">
        <f t="shared" si="0"/>
        <v>0</v>
      </c>
      <c r="O33" s="628"/>
      <c r="P33" s="374"/>
      <c r="Q33" s="212"/>
      <c r="R33" s="213">
        <f>+G33</f>
        <v>0</v>
      </c>
      <c r="S33" s="211"/>
    </row>
    <row r="34" spans="1:19" ht="15.75" thickBot="1">
      <c r="A34" s="3"/>
      <c r="B34" s="95" t="s">
        <v>387</v>
      </c>
      <c r="C34" s="397">
        <f>+C32</f>
        <v>2868759</v>
      </c>
      <c r="D34" s="397">
        <f>IF(AND(D31=0,D32=0),0,+C34+D32)</f>
        <v>2868759</v>
      </c>
      <c r="E34" s="397">
        <f aca="true" t="shared" si="1" ref="E34:N34">IF(AND(E31=0,E32=0),0,+D34+E32)</f>
        <v>0</v>
      </c>
      <c r="F34" s="397">
        <f t="shared" si="1"/>
        <v>0</v>
      </c>
      <c r="G34" s="397">
        <f t="shared" si="1"/>
        <v>0</v>
      </c>
      <c r="H34" s="397">
        <f t="shared" si="1"/>
        <v>0</v>
      </c>
      <c r="I34" s="397">
        <f t="shared" si="1"/>
        <v>0</v>
      </c>
      <c r="J34" s="397">
        <f t="shared" si="1"/>
        <v>0</v>
      </c>
      <c r="K34" s="397">
        <f t="shared" si="1"/>
        <v>0</v>
      </c>
      <c r="L34" s="397">
        <f t="shared" si="1"/>
        <v>0</v>
      </c>
      <c r="M34" s="397">
        <f t="shared" si="1"/>
        <v>0</v>
      </c>
      <c r="N34" s="397">
        <f t="shared" si="1"/>
        <v>0</v>
      </c>
      <c r="O34" s="629"/>
      <c r="P34" s="374"/>
      <c r="Q34" s="212"/>
      <c r="R34" s="213">
        <f>+H33</f>
        <v>0</v>
      </c>
      <c r="S34" s="211"/>
    </row>
    <row r="35" spans="1:19" ht="15">
      <c r="A35" s="3"/>
      <c r="B35" s="3"/>
      <c r="C35" s="351">
        <f>+IF(AND(C30=$C$16,C33&lt;&gt;0),C34/C33,0)</f>
        <v>0</v>
      </c>
      <c r="D35" s="351">
        <f aca="true" t="shared" si="2" ref="D35:N35">+IF(AND(D30=$C$16,D33&lt;&gt;0),D34/D33,0)</f>
        <v>0.36922257767582084</v>
      </c>
      <c r="E35" s="351">
        <f t="shared" si="2"/>
        <v>0</v>
      </c>
      <c r="F35" s="351">
        <f t="shared" si="2"/>
        <v>0</v>
      </c>
      <c r="G35" s="351">
        <f t="shared" si="2"/>
        <v>0</v>
      </c>
      <c r="H35" s="351">
        <f t="shared" si="2"/>
        <v>0</v>
      </c>
      <c r="I35" s="351">
        <f t="shared" si="2"/>
        <v>0</v>
      </c>
      <c r="J35" s="351">
        <f t="shared" si="2"/>
        <v>0</v>
      </c>
      <c r="K35" s="351">
        <f t="shared" si="2"/>
        <v>0</v>
      </c>
      <c r="L35" s="351">
        <f t="shared" si="2"/>
        <v>0</v>
      </c>
      <c r="M35" s="351">
        <f t="shared" si="2"/>
        <v>0</v>
      </c>
      <c r="N35" s="351">
        <f t="shared" si="2"/>
        <v>0</v>
      </c>
      <c r="O35" s="297"/>
      <c r="P35" s="214"/>
      <c r="Q35" s="215"/>
      <c r="R35" s="213">
        <f>+I33</f>
        <v>0</v>
      </c>
      <c r="S35" s="211"/>
    </row>
    <row r="36" spans="1:35" ht="18.75">
      <c r="A36" s="3"/>
      <c r="B36" s="90" t="s">
        <v>379</v>
      </c>
      <c r="C36" s="3"/>
      <c r="D36" s="3"/>
      <c r="E36" s="365"/>
      <c r="F36" s="3"/>
      <c r="G36" s="266"/>
      <c r="H36" s="3"/>
      <c r="I36" s="3"/>
      <c r="J36" s="3"/>
      <c r="K36" s="3"/>
      <c r="L36" s="3"/>
      <c r="M36" s="3"/>
      <c r="N36" s="41"/>
      <c r="O36" s="41"/>
      <c r="AI36" s="20"/>
    </row>
    <row r="37" spans="1:15" ht="15.75" thickBot="1">
      <c r="A37" s="3"/>
      <c r="B37" s="3"/>
      <c r="C37" s="3"/>
      <c r="D37" s="3"/>
      <c r="E37" s="3"/>
      <c r="F37" s="3"/>
      <c r="G37" s="3"/>
      <c r="H37" s="3"/>
      <c r="I37" s="3"/>
      <c r="J37" s="3"/>
      <c r="K37" s="3"/>
      <c r="L37" s="3"/>
      <c r="M37" s="3"/>
      <c r="N37" s="39"/>
      <c r="O37" s="39"/>
    </row>
    <row r="38" spans="1:32" ht="30" customHeight="1">
      <c r="A38" s="3"/>
      <c r="B38" s="408" t="s">
        <v>403</v>
      </c>
      <c r="C38" s="409" t="str">
        <f>CONCATENATE("Cumulative Budget (in ",'Data Entry'!$D$26,")")</f>
        <v>Cumulative Budget (in $)</v>
      </c>
      <c r="D38" s="410" t="str">
        <f>CONCATENATE("Cumulative Expenditures (in ",'Data Entry'!$D$26,")")</f>
        <v>Cumulative Expenditures (in $)</v>
      </c>
      <c r="E38" s="281"/>
      <c r="F38" s="300"/>
      <c r="G38" s="3"/>
      <c r="H38" s="3"/>
      <c r="I38" s="3"/>
      <c r="J38" s="101"/>
      <c r="K38" s="42"/>
      <c r="N38"/>
      <c r="O38"/>
      <c r="AE38" s="20"/>
      <c r="AF38" s="36"/>
    </row>
    <row r="39" spans="1:32" ht="14.25" customHeight="1">
      <c r="A39" s="3"/>
      <c r="B39" s="411" t="s">
        <v>449</v>
      </c>
      <c r="C39" s="406">
        <v>2485141</v>
      </c>
      <c r="D39" s="412">
        <v>959200</v>
      </c>
      <c r="E39" s="298"/>
      <c r="F39" s="376"/>
      <c r="G39" s="377"/>
      <c r="H39" s="3"/>
      <c r="I39" s="3"/>
      <c r="J39" s="102"/>
      <c r="K39" s="43"/>
      <c r="N39"/>
      <c r="O39"/>
      <c r="AE39" s="20"/>
      <c r="AF39" s="36"/>
    </row>
    <row r="40" spans="1:32" ht="14.25" customHeight="1">
      <c r="A40" s="3"/>
      <c r="B40" s="492" t="s">
        <v>450</v>
      </c>
      <c r="C40" s="406">
        <v>588208</v>
      </c>
      <c r="D40" s="412">
        <v>13310</v>
      </c>
      <c r="E40" s="15"/>
      <c r="F40" s="376"/>
      <c r="G40" s="377"/>
      <c r="H40" s="3"/>
      <c r="I40" s="3"/>
      <c r="J40" s="3"/>
      <c r="K40" s="43"/>
      <c r="N40"/>
      <c r="O40"/>
      <c r="AE40" s="20"/>
      <c r="AF40" s="36"/>
    </row>
    <row r="41" spans="1:32" ht="15">
      <c r="A41" s="3"/>
      <c r="B41" s="411" t="s">
        <v>451</v>
      </c>
      <c r="C41" s="407">
        <v>1395373</v>
      </c>
      <c r="D41" s="412">
        <v>320549.54</v>
      </c>
      <c r="E41" s="15"/>
      <c r="F41" s="378"/>
      <c r="G41" s="3"/>
      <c r="H41" s="3"/>
      <c r="I41" s="3"/>
      <c r="J41" s="3"/>
      <c r="K41" s="43"/>
      <c r="N41"/>
      <c r="O41"/>
      <c r="AE41" s="20"/>
      <c r="AF41" s="36"/>
    </row>
    <row r="42" spans="1:32" ht="15" customHeight="1">
      <c r="A42" s="3"/>
      <c r="B42" s="411" t="s">
        <v>452</v>
      </c>
      <c r="C42" s="406">
        <v>89402</v>
      </c>
      <c r="D42" s="412">
        <v>0</v>
      </c>
      <c r="E42" s="15"/>
      <c r="F42" s="375"/>
      <c r="G42" s="3"/>
      <c r="H42" s="3"/>
      <c r="I42" s="3"/>
      <c r="J42" s="3"/>
      <c r="K42" s="20"/>
      <c r="N42"/>
      <c r="O42"/>
      <c r="AE42" s="20"/>
      <c r="AF42" s="36"/>
    </row>
    <row r="43" spans="1:32" ht="15">
      <c r="A43" s="3"/>
      <c r="B43" s="413" t="s">
        <v>453</v>
      </c>
      <c r="C43" s="407">
        <v>127370</v>
      </c>
      <c r="D43" s="412">
        <v>46164</v>
      </c>
      <c r="E43" s="15"/>
      <c r="F43" s="299"/>
      <c r="G43" s="3"/>
      <c r="H43" s="3"/>
      <c r="I43" s="3"/>
      <c r="J43" s="3"/>
      <c r="K43" s="20"/>
      <c r="N43"/>
      <c r="O43"/>
      <c r="AE43" s="20"/>
      <c r="AF43" s="36"/>
    </row>
    <row r="44" spans="1:32" ht="15">
      <c r="A44" s="3"/>
      <c r="B44" s="413" t="s">
        <v>454</v>
      </c>
      <c r="C44" s="407">
        <v>687814</v>
      </c>
      <c r="D44" s="412">
        <v>519617.51</v>
      </c>
      <c r="E44" s="15"/>
      <c r="F44" s="433"/>
      <c r="G44" s="3"/>
      <c r="H44" s="3"/>
      <c r="I44" s="3"/>
      <c r="J44" s="3"/>
      <c r="K44" s="20"/>
      <c r="N44"/>
      <c r="O44"/>
      <c r="AE44" s="20"/>
      <c r="AF44" s="36"/>
    </row>
    <row r="45" spans="1:32" ht="15">
      <c r="A45" s="3"/>
      <c r="B45" s="413" t="s">
        <v>455</v>
      </c>
      <c r="C45" s="407">
        <v>2396420</v>
      </c>
      <c r="D45" s="412">
        <v>0</v>
      </c>
      <c r="E45" s="15"/>
      <c r="F45" s="299"/>
      <c r="G45" s="15"/>
      <c r="H45" s="15"/>
      <c r="I45" s="15"/>
      <c r="J45" s="15"/>
      <c r="K45" s="20"/>
      <c r="N45"/>
      <c r="O45"/>
      <c r="AE45" s="36"/>
      <c r="AF45" s="36"/>
    </row>
    <row r="46" spans="1:32" ht="15.75" thickBot="1">
      <c r="A46" s="3"/>
      <c r="B46" s="414"/>
      <c r="C46" s="406"/>
      <c r="D46" s="412"/>
      <c r="E46" s="15"/>
      <c r="F46" s="15"/>
      <c r="G46" s="15"/>
      <c r="H46" s="15"/>
      <c r="I46" s="15"/>
      <c r="J46" s="15"/>
      <c r="K46" s="20"/>
      <c r="N46"/>
      <c r="O46"/>
      <c r="AE46" s="36"/>
      <c r="AF46" s="36"/>
    </row>
    <row r="47" spans="1:32" ht="15.75" thickBot="1">
      <c r="A47" s="3"/>
      <c r="B47" s="415" t="s">
        <v>59</v>
      </c>
      <c r="C47" s="416">
        <f>SUM(C39:C46)</f>
        <v>7769728</v>
      </c>
      <c r="D47" s="417">
        <f>SUM(D39:D46)</f>
        <v>1858841.05</v>
      </c>
      <c r="E47" s="297"/>
      <c r="F47" s="635" t="str">
        <f ca="1">+IF((ROUND(C47,0)=ROUND(OFFSET(B33,0,RIGHT('Data Entry'!$C$16,LEN('Data Entry'!$C$16)-1),1,1),0)),"OK: Data match","Warning: Data does not match")</f>
        <v>OK: Data match</v>
      </c>
      <c r="G47" s="636"/>
      <c r="H47" s="636"/>
      <c r="I47" s="637"/>
      <c r="J47" s="205"/>
      <c r="K47" s="205"/>
      <c r="L47" s="205"/>
      <c r="M47" s="214"/>
      <c r="N47" s="215"/>
      <c r="O47" s="213"/>
      <c r="P47" s="211"/>
      <c r="AE47" s="36"/>
      <c r="AF47" s="36"/>
    </row>
    <row r="48" spans="1:19" ht="15">
      <c r="A48" s="3"/>
      <c r="B48" s="3"/>
      <c r="C48" s="205"/>
      <c r="D48" s="205"/>
      <c r="E48" s="278"/>
      <c r="F48" s="205"/>
      <c r="G48" s="205"/>
      <c r="H48" s="205"/>
      <c r="I48" s="205"/>
      <c r="J48" s="205"/>
      <c r="K48" s="205"/>
      <c r="L48" s="205"/>
      <c r="M48" s="205"/>
      <c r="N48" s="205"/>
      <c r="O48" s="205"/>
      <c r="P48" s="214"/>
      <c r="Q48" s="215"/>
      <c r="R48" s="213"/>
      <c r="S48" s="211"/>
    </row>
    <row r="49" spans="1:19" ht="18.75">
      <c r="A49" s="3"/>
      <c r="B49" s="90" t="s">
        <v>378</v>
      </c>
      <c r="C49" s="3"/>
      <c r="D49" s="3"/>
      <c r="E49" s="3"/>
      <c r="F49" s="3"/>
      <c r="G49" s="3"/>
      <c r="H49" s="3"/>
      <c r="I49" s="3"/>
      <c r="J49" s="3"/>
      <c r="K49" s="3"/>
      <c r="L49" s="3"/>
      <c r="M49" s="3"/>
      <c r="P49" s="211"/>
      <c r="Q49" s="212"/>
      <c r="R49" s="213">
        <f>+J33</f>
        <v>0</v>
      </c>
      <c r="S49" s="211"/>
    </row>
    <row r="50" spans="1:19" ht="15.75" thickBot="1">
      <c r="A50" s="3"/>
      <c r="B50" s="3"/>
      <c r="C50" s="3"/>
      <c r="D50" s="3"/>
      <c r="E50" s="3"/>
      <c r="F50" s="3"/>
      <c r="G50" s="3"/>
      <c r="H50" s="3"/>
      <c r="I50" s="3"/>
      <c r="J50" s="3"/>
      <c r="K50" s="3"/>
      <c r="L50" s="3"/>
      <c r="M50" s="3"/>
      <c r="P50" s="211"/>
      <c r="Q50" s="212"/>
      <c r="R50" s="213">
        <f>+K33</f>
        <v>0</v>
      </c>
      <c r="S50" s="211"/>
    </row>
    <row r="51" spans="1:34" ht="35.25" customHeight="1">
      <c r="A51" s="3"/>
      <c r="B51" s="303"/>
      <c r="C51" s="304" t="s">
        <v>376</v>
      </c>
      <c r="D51" s="304" t="s">
        <v>377</v>
      </c>
      <c r="E51" s="431" t="str">
        <f>CONCATENATE("Total Spent and Disbursement (in ",D26,")")</f>
        <v>Total Spent and Disbursement (in $)</v>
      </c>
      <c r="F51" s="3"/>
      <c r="G51" s="307"/>
      <c r="H51" s="300"/>
      <c r="I51" s="286"/>
      <c r="J51" s="286"/>
      <c r="K51" s="286"/>
      <c r="L51" s="286"/>
      <c r="M51" s="22"/>
      <c r="N51" s="22"/>
      <c r="O51" s="211"/>
      <c r="P51" s="212"/>
      <c r="Q51" s="213">
        <f>+M33</f>
        <v>0</v>
      </c>
      <c r="R51" s="211"/>
      <c r="AH51" s="20"/>
    </row>
    <row r="52" spans="1:34" ht="15">
      <c r="A52" s="3"/>
      <c r="B52" s="301" t="s">
        <v>311</v>
      </c>
      <c r="C52" s="398">
        <v>2868759</v>
      </c>
      <c r="D52" s="394">
        <v>0</v>
      </c>
      <c r="E52" s="399">
        <f>+D52+C52</f>
        <v>2868759</v>
      </c>
      <c r="F52" s="3"/>
      <c r="G52" s="97"/>
      <c r="H52" s="305"/>
      <c r="I52" s="96"/>
      <c r="J52" s="208"/>
      <c r="K52" s="209"/>
      <c r="L52" s="98"/>
      <c r="M52" s="37"/>
      <c r="N52" s="37"/>
      <c r="O52" s="211"/>
      <c r="P52" s="211"/>
      <c r="Q52" s="211"/>
      <c r="R52" s="211"/>
      <c r="AH52" s="20"/>
    </row>
    <row r="53" spans="1:34" ht="15">
      <c r="A53" s="3"/>
      <c r="B53" s="301" t="s">
        <v>290</v>
      </c>
      <c r="C53" s="398">
        <v>1097421.95</v>
      </c>
      <c r="D53" s="398">
        <v>761419.51</v>
      </c>
      <c r="E53" s="399">
        <f>+D53+C53</f>
        <v>1858841.46</v>
      </c>
      <c r="F53" s="3"/>
      <c r="G53" s="260"/>
      <c r="H53" s="305"/>
      <c r="I53" s="96"/>
      <c r="J53" s="208"/>
      <c r="K53" s="208"/>
      <c r="L53" s="98"/>
      <c r="M53" s="38"/>
      <c r="N53" s="38"/>
      <c r="O53" s="211"/>
      <c r="P53" s="211"/>
      <c r="Q53" s="211"/>
      <c r="R53" s="211"/>
      <c r="AH53" s="20"/>
    </row>
    <row r="54" spans="1:34" ht="15">
      <c r="A54" s="3"/>
      <c r="B54" s="301" t="s">
        <v>269</v>
      </c>
      <c r="C54" s="398"/>
      <c r="D54" s="398"/>
      <c r="E54" s="399">
        <f>+D54+C54</f>
        <v>0</v>
      </c>
      <c r="F54" s="3"/>
      <c r="G54" s="97"/>
      <c r="H54" s="305"/>
      <c r="I54" s="96"/>
      <c r="J54" s="208"/>
      <c r="K54" s="209"/>
      <c r="L54" s="98"/>
      <c r="M54" s="37"/>
      <c r="N54" s="37"/>
      <c r="O54"/>
      <c r="AH54" s="20"/>
    </row>
    <row r="55" spans="1:34" ht="15.75" thickBot="1">
      <c r="A55" s="3"/>
      <c r="B55" s="302" t="s">
        <v>270</v>
      </c>
      <c r="C55" s="400"/>
      <c r="D55" s="400"/>
      <c r="E55" s="401">
        <f>+D55+C55</f>
        <v>0</v>
      </c>
      <c r="F55" s="3"/>
      <c r="G55" s="261"/>
      <c r="H55" s="306"/>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13" ht="15">
      <c r="A57" s="3"/>
      <c r="B57" s="3"/>
      <c r="C57" s="3"/>
      <c r="D57" s="284"/>
      <c r="E57" s="3"/>
      <c r="F57" s="3"/>
      <c r="G57" s="3"/>
      <c r="H57" s="3"/>
      <c r="I57" s="3"/>
      <c r="J57" s="3"/>
      <c r="K57" s="3"/>
      <c r="L57" s="3"/>
      <c r="M57" s="3"/>
    </row>
    <row r="58" spans="1:13" ht="18.75">
      <c r="A58" s="3"/>
      <c r="B58" s="90" t="s">
        <v>381</v>
      </c>
      <c r="C58" s="3"/>
      <c r="D58" s="3"/>
      <c r="E58" s="3"/>
      <c r="F58" s="3"/>
      <c r="G58" s="3"/>
      <c r="H58" s="3"/>
      <c r="I58" s="3"/>
      <c r="J58" s="3"/>
      <c r="K58" s="3"/>
      <c r="L58" s="3"/>
      <c r="M58" s="3"/>
    </row>
    <row r="59" spans="1:13" ht="15.75" thickBot="1">
      <c r="A59" s="3"/>
      <c r="B59" s="3"/>
      <c r="C59" s="3"/>
      <c r="D59" s="3"/>
      <c r="E59" s="3"/>
      <c r="F59" s="3"/>
      <c r="G59" s="3"/>
      <c r="H59" s="3"/>
      <c r="I59" s="3"/>
      <c r="J59" s="3"/>
      <c r="K59" s="3"/>
      <c r="L59" s="3"/>
      <c r="M59" s="3"/>
    </row>
    <row r="60" spans="1:15" ht="15">
      <c r="A60" s="3"/>
      <c r="B60" s="699" t="s">
        <v>346</v>
      </c>
      <c r="C60" s="700"/>
      <c r="D60" s="701"/>
      <c r="E60" s="3"/>
      <c r="F60" s="3"/>
      <c r="G60" s="3"/>
      <c r="H60" s="3"/>
      <c r="I60" s="3"/>
      <c r="J60" s="3"/>
      <c r="K60" s="3"/>
      <c r="L60" s="3"/>
      <c r="M60" s="36"/>
      <c r="O60"/>
    </row>
    <row r="61" spans="1:15" ht="15">
      <c r="A61" s="3"/>
      <c r="B61" s="103"/>
      <c r="C61" s="309" t="s">
        <v>61</v>
      </c>
      <c r="D61" s="310" t="s">
        <v>62</v>
      </c>
      <c r="E61" s="3"/>
      <c r="F61" s="3"/>
      <c r="G61" s="3"/>
      <c r="H61" s="3"/>
      <c r="I61" s="3"/>
      <c r="J61" s="3"/>
      <c r="K61" s="3"/>
      <c r="L61" s="3"/>
      <c r="M61" s="36"/>
      <c r="O61"/>
    </row>
    <row r="62" spans="1:15" ht="15">
      <c r="A62" s="3"/>
      <c r="B62" s="104" t="s">
        <v>1</v>
      </c>
      <c r="C62" s="379" t="s">
        <v>432</v>
      </c>
      <c r="D62" s="380" t="s">
        <v>432</v>
      </c>
      <c r="E62" s="3"/>
      <c r="F62" s="3"/>
      <c r="G62" s="3"/>
      <c r="H62" s="3"/>
      <c r="I62" s="3"/>
      <c r="J62" s="3"/>
      <c r="K62" s="3"/>
      <c r="L62" s="3"/>
      <c r="M62" s="36"/>
      <c r="O62"/>
    </row>
    <row r="63" spans="1:15" ht="15">
      <c r="A63" s="3"/>
      <c r="B63" s="308" t="s">
        <v>363</v>
      </c>
      <c r="C63" s="379" t="s">
        <v>432</v>
      </c>
      <c r="D63" s="380" t="s">
        <v>432</v>
      </c>
      <c r="E63" s="3"/>
      <c r="F63" s="3"/>
      <c r="G63" s="3"/>
      <c r="H63" s="305"/>
      <c r="I63" s="305"/>
      <c r="J63" s="3"/>
      <c r="K63" s="3"/>
      <c r="L63" s="3"/>
      <c r="M63" s="36"/>
      <c r="O63"/>
    </row>
    <row r="64" spans="1:15" ht="15.75" thickBot="1">
      <c r="A64" s="3"/>
      <c r="B64" s="105" t="s">
        <v>364</v>
      </c>
      <c r="C64" s="381" t="s">
        <v>432</v>
      </c>
      <c r="D64" s="382" t="s">
        <v>432</v>
      </c>
      <c r="E64" s="3"/>
      <c r="F64" s="3"/>
      <c r="G64" s="3"/>
      <c r="H64" s="305"/>
      <c r="I64" s="305"/>
      <c r="J64" s="3"/>
      <c r="K64" s="3"/>
      <c r="L64" s="3"/>
      <c r="M64" s="36"/>
      <c r="O64"/>
    </row>
    <row r="65" spans="1:13" ht="15">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27"/>
      <c r="M66" s="3"/>
      <c r="AC66" s="19"/>
      <c r="AD66" s="19"/>
    </row>
    <row r="67" spans="1:30" ht="19.5" thickBot="1">
      <c r="A67" s="3"/>
      <c r="B67" s="106" t="s">
        <v>263</v>
      </c>
      <c r="C67" s="107"/>
      <c r="D67" s="107"/>
      <c r="E67" s="107"/>
      <c r="F67" s="107"/>
      <c r="G67" s="107"/>
      <c r="H67" s="334" t="s">
        <v>304</v>
      </c>
      <c r="I67" s="107"/>
      <c r="J67" s="108"/>
      <c r="K67" s="108"/>
      <c r="L67" s="428"/>
      <c r="M67" s="429"/>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382</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19" ht="45">
      <c r="A71" s="3"/>
      <c r="B71" s="654"/>
      <c r="C71" s="655"/>
      <c r="D71" s="114" t="s">
        <v>117</v>
      </c>
      <c r="E71" s="115" t="s">
        <v>296</v>
      </c>
      <c r="F71" s="115" t="s">
        <v>118</v>
      </c>
      <c r="G71" s="116" t="s">
        <v>59</v>
      </c>
      <c r="H71" s="318"/>
      <c r="I71" s="319"/>
      <c r="J71" s="15"/>
      <c r="K71" s="2"/>
      <c r="L71" s="2"/>
      <c r="M71" s="2"/>
      <c r="N71" s="20"/>
      <c r="O71" s="19"/>
      <c r="P71" s="19"/>
      <c r="Q71" s="19"/>
      <c r="R71" s="19"/>
      <c r="S71" s="19"/>
    </row>
    <row r="72" spans="1:19" ht="15">
      <c r="A72" s="3"/>
      <c r="B72" s="693" t="s">
        <v>402</v>
      </c>
      <c r="C72" s="694"/>
      <c r="D72" s="263"/>
      <c r="E72" s="263"/>
      <c r="F72" s="263"/>
      <c r="G72" s="118">
        <f>SUM(D72:F72)</f>
        <v>0</v>
      </c>
      <c r="H72" s="299"/>
      <c r="I72" s="317"/>
      <c r="J72" s="317"/>
      <c r="K72" s="2"/>
      <c r="L72" s="2"/>
      <c r="M72" s="2"/>
      <c r="N72" s="20"/>
      <c r="O72" s="19"/>
      <c r="P72" s="19"/>
      <c r="Q72" s="19"/>
      <c r="R72" s="19"/>
      <c r="S72" s="19"/>
    </row>
    <row r="73" spans="1:19" ht="15.75" thickBot="1">
      <c r="A73" s="3"/>
      <c r="B73" s="688" t="s">
        <v>11</v>
      </c>
      <c r="C73" s="689"/>
      <c r="D73" s="264"/>
      <c r="E73" s="264"/>
      <c r="F73" s="264"/>
      <c r="G73" s="120">
        <f>SUM(D73:F73)</f>
        <v>0</v>
      </c>
      <c r="H73" s="299"/>
      <c r="I73" s="15"/>
      <c r="J73" s="15"/>
      <c r="K73" s="2"/>
      <c r="L73" s="2"/>
      <c r="M73" s="2"/>
      <c r="N73" s="19"/>
      <c r="O73" s="19"/>
      <c r="P73" s="19"/>
      <c r="Q73" s="19"/>
      <c r="R73" s="19"/>
      <c r="S73" s="19"/>
    </row>
    <row r="74" spans="1:19" ht="15">
      <c r="A74" s="3"/>
      <c r="B74" s="2"/>
      <c r="C74" s="2"/>
      <c r="D74" s="2"/>
      <c r="E74" s="2"/>
      <c r="F74" s="2"/>
      <c r="G74" s="2"/>
      <c r="H74" s="2"/>
      <c r="I74" s="2"/>
      <c r="J74" s="2"/>
      <c r="K74" s="2"/>
      <c r="L74" s="2"/>
      <c r="M74" s="2"/>
      <c r="N74" s="19"/>
      <c r="O74" s="19"/>
      <c r="P74" s="19"/>
      <c r="Q74" s="19"/>
      <c r="R74" s="19"/>
      <c r="S74" s="19"/>
    </row>
    <row r="75" spans="1:19" ht="15">
      <c r="A75" s="3"/>
      <c r="B75" s="2"/>
      <c r="C75" s="2"/>
      <c r="D75" s="2"/>
      <c r="E75" s="2"/>
      <c r="F75" s="2"/>
      <c r="G75" s="2"/>
      <c r="H75" s="2"/>
      <c r="I75" s="2"/>
      <c r="J75" s="2"/>
      <c r="K75" s="2"/>
      <c r="L75" s="2"/>
      <c r="M75" s="2"/>
      <c r="N75" s="19"/>
      <c r="O75" s="19"/>
      <c r="P75" s="19"/>
      <c r="S75" s="19"/>
    </row>
    <row r="76" spans="1:19" ht="18.75">
      <c r="A76" s="3"/>
      <c r="B76" s="110" t="s">
        <v>383</v>
      </c>
      <c r="C76" s="2"/>
      <c r="D76" s="2"/>
      <c r="E76" s="2"/>
      <c r="F76" s="2"/>
      <c r="G76" s="2"/>
      <c r="H76" s="2"/>
      <c r="I76" s="2"/>
      <c r="J76" s="2"/>
      <c r="K76" s="2"/>
      <c r="L76" s="2"/>
      <c r="M76" s="2"/>
      <c r="N76" s="19"/>
      <c r="O76" s="19"/>
      <c r="P76" s="19"/>
      <c r="S76" s="19"/>
    </row>
    <row r="77" spans="1:19" ht="15.75" thickBot="1">
      <c r="A77" s="3"/>
      <c r="B77" s="2"/>
      <c r="C77" s="2"/>
      <c r="D77" s="2"/>
      <c r="E77" s="2"/>
      <c r="F77" s="2"/>
      <c r="G77" s="2"/>
      <c r="H77" s="2"/>
      <c r="I77" s="2"/>
      <c r="J77" s="2"/>
      <c r="K77" s="2"/>
      <c r="L77" s="2"/>
      <c r="M77" s="2"/>
      <c r="N77" s="19"/>
      <c r="O77" s="19"/>
      <c r="P77" s="19"/>
      <c r="S77" s="19"/>
    </row>
    <row r="78" spans="1:19" ht="15">
      <c r="A78" s="3"/>
      <c r="B78" s="121"/>
      <c r="C78" s="113" t="s">
        <v>64</v>
      </c>
      <c r="D78" s="113" t="s">
        <v>82</v>
      </c>
      <c r="E78" s="122" t="s">
        <v>65</v>
      </c>
      <c r="F78" s="15"/>
      <c r="G78" s="15"/>
      <c r="H78" s="15"/>
      <c r="I78" s="319"/>
      <c r="J78" s="2"/>
      <c r="K78" s="2"/>
      <c r="L78" s="2"/>
      <c r="M78" s="2"/>
      <c r="N78" s="19"/>
      <c r="O78" s="19"/>
      <c r="P78" s="19"/>
      <c r="S78" s="19"/>
    </row>
    <row r="79" spans="1:19" ht="15.75" thickBot="1">
      <c r="A79" s="3"/>
      <c r="B79" s="123" t="s">
        <v>312</v>
      </c>
      <c r="C79" s="366"/>
      <c r="D79" s="366"/>
      <c r="E79" s="367">
        <f>+C79-D79</f>
        <v>0</v>
      </c>
      <c r="F79" s="271"/>
      <c r="G79" s="279"/>
      <c r="H79" s="15"/>
      <c r="I79" s="317"/>
      <c r="J79" s="2"/>
      <c r="K79" s="2"/>
      <c r="L79" s="2"/>
      <c r="M79" s="2"/>
      <c r="N79" s="19"/>
      <c r="O79" s="19"/>
      <c r="P79" s="19"/>
      <c r="S79" s="19"/>
    </row>
    <row r="80" spans="1:19" ht="15">
      <c r="A80" s="3"/>
      <c r="B80" s="2"/>
      <c r="C80" s="2"/>
      <c r="D80" s="2"/>
      <c r="E80" s="2"/>
      <c r="F80" s="2"/>
      <c r="G80" s="2"/>
      <c r="H80" s="2"/>
      <c r="I80" s="2"/>
      <c r="J80" s="2"/>
      <c r="K80" s="2"/>
      <c r="L80" s="2"/>
      <c r="M80" s="2"/>
      <c r="N80" s="19"/>
      <c r="O80" s="19"/>
      <c r="P80" s="19"/>
      <c r="S80" s="19"/>
    </row>
    <row r="81" spans="1:19" ht="18.75">
      <c r="A81" s="3"/>
      <c r="B81" s="110" t="s">
        <v>388</v>
      </c>
      <c r="C81" s="2"/>
      <c r="D81" s="2"/>
      <c r="E81" s="2"/>
      <c r="F81" s="2"/>
      <c r="G81" s="2"/>
      <c r="H81" s="2"/>
      <c r="I81" s="2"/>
      <c r="J81" s="2"/>
      <c r="K81" s="2"/>
      <c r="L81" s="2"/>
      <c r="M81" s="2"/>
      <c r="N81" s="19"/>
      <c r="O81" s="19"/>
      <c r="P81" s="19"/>
      <c r="S81" s="19"/>
    </row>
    <row r="82" spans="1:19" ht="15.75" thickBot="1">
      <c r="A82" s="3"/>
      <c r="B82" s="2"/>
      <c r="C82" s="2"/>
      <c r="D82" s="2"/>
      <c r="E82" s="2"/>
      <c r="F82" s="2"/>
      <c r="G82" s="2"/>
      <c r="H82" s="2"/>
      <c r="I82" s="2"/>
      <c r="J82" s="2"/>
      <c r="K82" s="2"/>
      <c r="L82" s="2"/>
      <c r="M82" s="2"/>
      <c r="N82" s="19"/>
      <c r="O82" s="19"/>
      <c r="P82" s="19"/>
      <c r="S82" s="19"/>
    </row>
    <row r="83" spans="1:19" ht="30">
      <c r="A83" s="3"/>
      <c r="B83" s="121"/>
      <c r="C83" s="113" t="s">
        <v>291</v>
      </c>
      <c r="D83" s="113" t="s">
        <v>68</v>
      </c>
      <c r="E83" s="113" t="s">
        <v>83</v>
      </c>
      <c r="F83" s="113" t="s">
        <v>69</v>
      </c>
      <c r="G83" s="153" t="s">
        <v>119</v>
      </c>
      <c r="H83" s="280"/>
      <c r="I83" s="319"/>
      <c r="J83" s="2"/>
      <c r="K83" s="2"/>
      <c r="L83" s="2"/>
      <c r="M83" s="2"/>
      <c r="N83" s="19"/>
      <c r="O83" s="19"/>
      <c r="P83" s="19"/>
      <c r="S83" s="19"/>
    </row>
    <row r="84" spans="1:19" ht="15.75" thickBot="1">
      <c r="A84" s="3"/>
      <c r="B84" s="123" t="s">
        <v>127</v>
      </c>
      <c r="C84" s="366">
        <v>117</v>
      </c>
      <c r="D84" s="366">
        <v>117</v>
      </c>
      <c r="E84" s="366">
        <v>47</v>
      </c>
      <c r="F84" s="366">
        <v>47</v>
      </c>
      <c r="G84" s="368">
        <v>47</v>
      </c>
      <c r="H84" s="320"/>
      <c r="I84" s="299"/>
      <c r="J84" s="2"/>
      <c r="K84" s="2"/>
      <c r="L84" s="2"/>
      <c r="M84" s="2"/>
      <c r="N84" s="19"/>
      <c r="O84" s="19"/>
      <c r="P84" s="19"/>
      <c r="S84" s="19"/>
    </row>
    <row r="85" spans="1:19" ht="15">
      <c r="A85" s="3"/>
      <c r="B85" s="2"/>
      <c r="C85" s="2"/>
      <c r="D85" s="2"/>
      <c r="E85" s="2"/>
      <c r="F85" s="2"/>
      <c r="G85" s="2"/>
      <c r="H85" s="2"/>
      <c r="J85" s="2"/>
      <c r="K85" s="2"/>
      <c r="L85" s="2"/>
      <c r="M85" s="2"/>
      <c r="N85" s="19"/>
      <c r="O85" s="19"/>
      <c r="P85" s="19"/>
      <c r="S85" s="19"/>
    </row>
    <row r="86" spans="1:19" ht="18.75">
      <c r="A86" s="3"/>
      <c r="B86" s="110" t="s">
        <v>384</v>
      </c>
      <c r="C86" s="2"/>
      <c r="D86" s="2"/>
      <c r="E86" s="2"/>
      <c r="F86" s="2"/>
      <c r="G86" s="2"/>
      <c r="H86" s="2"/>
      <c r="I86" s="2"/>
      <c r="J86" s="2"/>
      <c r="K86" s="2"/>
      <c r="L86" s="2"/>
      <c r="M86" s="2"/>
      <c r="N86" s="19"/>
      <c r="O86" s="19"/>
      <c r="P86" s="19"/>
      <c r="S86" s="19"/>
    </row>
    <row r="87" spans="1:19" ht="15.75" thickBot="1">
      <c r="A87" s="3"/>
      <c r="B87" s="2"/>
      <c r="C87" s="2"/>
      <c r="D87" s="2"/>
      <c r="E87" s="2"/>
      <c r="F87" s="2"/>
      <c r="G87" s="2"/>
      <c r="H87" s="2"/>
      <c r="I87" s="2"/>
      <c r="J87" s="2"/>
      <c r="K87" s="2"/>
      <c r="L87" s="2"/>
      <c r="M87" s="2"/>
      <c r="N87" s="19"/>
      <c r="O87" s="19"/>
      <c r="P87" s="19"/>
      <c r="S87" s="19"/>
    </row>
    <row r="88" spans="1:36" ht="15">
      <c r="A88" s="3"/>
      <c r="B88" s="121"/>
      <c r="C88" s="124" t="s">
        <v>66</v>
      </c>
      <c r="D88" s="124" t="s">
        <v>67</v>
      </c>
      <c r="E88" s="125" t="s">
        <v>288</v>
      </c>
      <c r="F88" s="2"/>
      <c r="G88" s="2"/>
      <c r="H88" s="2"/>
      <c r="I88" s="2"/>
      <c r="J88" s="19"/>
      <c r="K88" s="19"/>
      <c r="L88" s="19"/>
      <c r="N88"/>
      <c r="O88" s="19"/>
      <c r="AG88" s="36"/>
      <c r="AJ88"/>
    </row>
    <row r="89" spans="1:36" ht="15">
      <c r="A89" s="3"/>
      <c r="B89" s="117" t="s">
        <v>389</v>
      </c>
      <c r="C89" s="263" t="s">
        <v>432</v>
      </c>
      <c r="D89" s="265" t="s">
        <v>432</v>
      </c>
      <c r="E89" s="321" t="e">
        <f>C89-D89</f>
        <v>#VALUE!</v>
      </c>
      <c r="F89" s="2"/>
      <c r="G89" s="2"/>
      <c r="H89" s="2"/>
      <c r="I89" s="2"/>
      <c r="J89" s="19"/>
      <c r="K89" s="19"/>
      <c r="L89" s="19"/>
      <c r="N89"/>
      <c r="O89" s="19"/>
      <c r="AG89" s="36"/>
      <c r="AJ89"/>
    </row>
    <row r="90" spans="1:36" ht="15.75" thickBot="1">
      <c r="A90" s="3"/>
      <c r="B90" s="119" t="s">
        <v>390</v>
      </c>
      <c r="C90" s="264"/>
      <c r="D90" s="322"/>
      <c r="E90" s="481">
        <f>C90-D90</f>
        <v>0</v>
      </c>
      <c r="F90" s="2"/>
      <c r="G90" s="2"/>
      <c r="H90" s="2"/>
      <c r="I90" s="2"/>
      <c r="J90" s="19"/>
      <c r="K90" s="19"/>
      <c r="L90" s="19"/>
      <c r="N90"/>
      <c r="O90" s="19"/>
      <c r="AG90" s="36"/>
      <c r="AJ90"/>
    </row>
    <row r="91" spans="1:19" ht="15">
      <c r="A91" s="3"/>
      <c r="B91" s="2"/>
      <c r="C91" s="2"/>
      <c r="D91" s="2"/>
      <c r="E91" s="2"/>
      <c r="F91" s="2"/>
      <c r="G91" s="2"/>
      <c r="H91" s="2"/>
      <c r="I91" s="2"/>
      <c r="J91" s="2"/>
      <c r="K91" s="2"/>
      <c r="L91" s="2"/>
      <c r="M91" s="2"/>
      <c r="N91" s="19"/>
      <c r="O91" s="19"/>
      <c r="P91" s="19"/>
      <c r="S91" s="19"/>
    </row>
    <row r="92" spans="1:19" ht="18.75">
      <c r="A92" s="3"/>
      <c r="B92" s="110" t="s">
        <v>391</v>
      </c>
      <c r="C92" s="2"/>
      <c r="D92" s="2"/>
      <c r="E92" s="2"/>
      <c r="F92" s="2"/>
      <c r="G92" s="2"/>
      <c r="H92" s="2"/>
      <c r="I92" s="2"/>
      <c r="J92" s="2"/>
      <c r="K92" s="2"/>
      <c r="L92" s="2"/>
      <c r="M92" s="2"/>
      <c r="N92" s="19"/>
      <c r="O92" s="19"/>
      <c r="P92" s="19"/>
      <c r="S92" s="19"/>
    </row>
    <row r="93" spans="1:19" ht="15.75" thickBot="1">
      <c r="A93" s="3"/>
      <c r="B93" s="2"/>
      <c r="C93" s="2"/>
      <c r="D93" s="2"/>
      <c r="E93" s="2"/>
      <c r="F93" s="2"/>
      <c r="G93" s="2"/>
      <c r="H93" s="2"/>
      <c r="I93" s="15"/>
      <c r="J93" s="15"/>
      <c r="K93" s="15"/>
      <c r="L93" s="15"/>
      <c r="M93" s="15"/>
      <c r="N93" s="20"/>
      <c r="O93" s="20"/>
      <c r="P93" s="20"/>
      <c r="S93" s="19"/>
    </row>
    <row r="94" spans="1:19" ht="15">
      <c r="A94" s="3"/>
      <c r="B94" s="223"/>
      <c r="C94" s="386" t="s">
        <v>106</v>
      </c>
      <c r="D94" s="386" t="s">
        <v>107</v>
      </c>
      <c r="E94" s="386" t="s">
        <v>108</v>
      </c>
      <c r="F94" s="386" t="s">
        <v>109</v>
      </c>
      <c r="G94" s="386" t="s">
        <v>120</v>
      </c>
      <c r="H94" s="386" t="s">
        <v>121</v>
      </c>
      <c r="I94" s="386" t="s">
        <v>122</v>
      </c>
      <c r="J94" s="386" t="s">
        <v>123</v>
      </c>
      <c r="K94" s="386" t="s">
        <v>124</v>
      </c>
      <c r="L94" s="386" t="s">
        <v>125</v>
      </c>
      <c r="M94" s="386" t="s">
        <v>126</v>
      </c>
      <c r="N94" s="387" t="s">
        <v>287</v>
      </c>
      <c r="O94" s="20"/>
      <c r="P94" s="20"/>
      <c r="S94" s="19"/>
    </row>
    <row r="95" spans="1:19" ht="15" customHeight="1">
      <c r="A95" s="3"/>
      <c r="B95" s="388" t="s">
        <v>368</v>
      </c>
      <c r="C95" s="369">
        <v>3747977</v>
      </c>
      <c r="D95" s="482">
        <v>174199.16</v>
      </c>
      <c r="E95" s="369"/>
      <c r="F95" s="369"/>
      <c r="G95" s="369"/>
      <c r="H95" s="369"/>
      <c r="I95" s="369"/>
      <c r="J95" s="369"/>
      <c r="K95" s="369"/>
      <c r="L95" s="369"/>
      <c r="M95" s="369"/>
      <c r="N95" s="482"/>
      <c r="O95" s="20"/>
      <c r="P95" s="20"/>
      <c r="S95" s="19"/>
    </row>
    <row r="96" spans="1:19" ht="15" customHeight="1">
      <c r="A96" s="3"/>
      <c r="B96" s="388" t="s">
        <v>365</v>
      </c>
      <c r="C96" s="369"/>
      <c r="D96" s="482">
        <v>4776878.54</v>
      </c>
      <c r="E96" s="369"/>
      <c r="F96" s="369"/>
      <c r="G96" s="369"/>
      <c r="H96" s="369"/>
      <c r="I96" s="369"/>
      <c r="J96" s="369"/>
      <c r="K96" s="369"/>
      <c r="L96" s="369"/>
      <c r="M96" s="369"/>
      <c r="N96" s="482"/>
      <c r="O96" s="20"/>
      <c r="P96" s="20"/>
      <c r="S96" s="19"/>
    </row>
    <row r="97" spans="1:19" ht="15" customHeight="1">
      <c r="A97" s="3"/>
      <c r="B97" s="388" t="s">
        <v>313</v>
      </c>
      <c r="C97" s="369">
        <v>5614.4</v>
      </c>
      <c r="D97" s="482">
        <v>41184.93</v>
      </c>
      <c r="E97" s="369"/>
      <c r="F97" s="369"/>
      <c r="G97" s="369"/>
      <c r="H97" s="369"/>
      <c r="I97" s="369"/>
      <c r="J97" s="369"/>
      <c r="K97" s="369"/>
      <c r="L97" s="369"/>
      <c r="M97" s="369"/>
      <c r="N97" s="482"/>
      <c r="O97" s="20"/>
      <c r="P97" s="20"/>
      <c r="S97" s="19"/>
    </row>
    <row r="98" spans="1:19" ht="15" customHeight="1">
      <c r="A98" s="3"/>
      <c r="B98" s="324" t="s">
        <v>411</v>
      </c>
      <c r="C98" s="370">
        <v>5054536.74</v>
      </c>
      <c r="D98" s="370">
        <f aca="true" t="shared" si="3" ref="D98:N98">+C98+D95</f>
        <v>5228735.9</v>
      </c>
      <c r="E98" s="370">
        <f>+D98+E95</f>
        <v>5228735.9</v>
      </c>
      <c r="F98" s="370">
        <f t="shared" si="3"/>
        <v>5228735.9</v>
      </c>
      <c r="G98" s="370">
        <f t="shared" si="3"/>
        <v>5228735.9</v>
      </c>
      <c r="H98" s="370">
        <f t="shared" si="3"/>
        <v>5228735.9</v>
      </c>
      <c r="I98" s="370">
        <f t="shared" si="3"/>
        <v>5228735.9</v>
      </c>
      <c r="J98" s="370">
        <f t="shared" si="3"/>
        <v>5228735.9</v>
      </c>
      <c r="K98" s="370">
        <f t="shared" si="3"/>
        <v>5228735.9</v>
      </c>
      <c r="L98" s="370">
        <f t="shared" si="3"/>
        <v>5228735.9</v>
      </c>
      <c r="M98" s="370">
        <f t="shared" si="3"/>
        <v>5228735.9</v>
      </c>
      <c r="N98" s="483">
        <f t="shared" si="3"/>
        <v>5228735.9</v>
      </c>
      <c r="O98" s="20"/>
      <c r="P98" s="20"/>
      <c r="S98" s="19"/>
    </row>
    <row r="99" spans="1:19" ht="15" customHeight="1">
      <c r="A99" s="3"/>
      <c r="B99" s="324" t="s">
        <v>5</v>
      </c>
      <c r="C99" s="370">
        <v>480382.58</v>
      </c>
      <c r="D99" s="370">
        <f aca="true" t="shared" si="4" ref="D99:N99">+C99+D96</f>
        <v>5257261.12</v>
      </c>
      <c r="E99" s="370">
        <f>+D99+E96</f>
        <v>5257261.12</v>
      </c>
      <c r="F99" s="370">
        <f t="shared" si="4"/>
        <v>5257261.12</v>
      </c>
      <c r="G99" s="370">
        <f t="shared" si="4"/>
        <v>5257261.12</v>
      </c>
      <c r="H99" s="370">
        <f t="shared" si="4"/>
        <v>5257261.12</v>
      </c>
      <c r="I99" s="370">
        <f t="shared" si="4"/>
        <v>5257261.12</v>
      </c>
      <c r="J99" s="370">
        <f t="shared" si="4"/>
        <v>5257261.12</v>
      </c>
      <c r="K99" s="370">
        <f t="shared" si="4"/>
        <v>5257261.12</v>
      </c>
      <c r="L99" s="370">
        <f t="shared" si="4"/>
        <v>5257261.12</v>
      </c>
      <c r="M99" s="370">
        <f t="shared" si="4"/>
        <v>5257261.12</v>
      </c>
      <c r="N99" s="483">
        <f t="shared" si="4"/>
        <v>5257261.12</v>
      </c>
      <c r="O99" s="20"/>
      <c r="P99" s="20"/>
      <c r="S99" s="19"/>
    </row>
    <row r="100" spans="1:19" ht="15.75" thickBot="1">
      <c r="A100" s="3"/>
      <c r="B100" s="478" t="s">
        <v>6</v>
      </c>
      <c r="C100" s="479">
        <v>4409362.83</v>
      </c>
      <c r="D100" s="480">
        <f aca="true" t="shared" si="5" ref="D100:N100">+C100+D97</f>
        <v>4450547.76</v>
      </c>
      <c r="E100" s="480">
        <f>+D100+E97</f>
        <v>4450547.76</v>
      </c>
      <c r="F100" s="480">
        <f t="shared" si="5"/>
        <v>4450547.76</v>
      </c>
      <c r="G100" s="480">
        <f t="shared" si="5"/>
        <v>4450547.76</v>
      </c>
      <c r="H100" s="480">
        <f t="shared" si="5"/>
        <v>4450547.76</v>
      </c>
      <c r="I100" s="480">
        <f t="shared" si="5"/>
        <v>4450547.76</v>
      </c>
      <c r="J100" s="480">
        <f t="shared" si="5"/>
        <v>4450547.76</v>
      </c>
      <c r="K100" s="480">
        <f t="shared" si="5"/>
        <v>4450547.76</v>
      </c>
      <c r="L100" s="480">
        <f t="shared" si="5"/>
        <v>4450547.76</v>
      </c>
      <c r="M100" s="480">
        <f t="shared" si="5"/>
        <v>4450547.76</v>
      </c>
      <c r="N100" s="484">
        <f t="shared" si="5"/>
        <v>4450547.76</v>
      </c>
      <c r="O100" s="20"/>
      <c r="P100" s="20"/>
      <c r="S100" s="19"/>
    </row>
    <row r="101" spans="1:19" ht="15">
      <c r="A101" s="3"/>
      <c r="B101" s="3"/>
      <c r="C101" s="2"/>
      <c r="D101" s="2"/>
      <c r="E101" s="2"/>
      <c r="F101" s="2"/>
      <c r="G101" s="2"/>
      <c r="H101" s="2"/>
      <c r="I101" s="15"/>
      <c r="J101" s="126"/>
      <c r="K101" s="127"/>
      <c r="L101" s="15"/>
      <c r="M101" s="128"/>
      <c r="N101" s="20"/>
      <c r="O101" s="20"/>
      <c r="P101" s="20"/>
      <c r="S101" s="19"/>
    </row>
    <row r="102" spans="1:19" ht="15">
      <c r="A102" s="3"/>
      <c r="B102" s="2" t="s">
        <v>405</v>
      </c>
      <c r="C102" s="2"/>
      <c r="D102" s="2"/>
      <c r="E102" s="2"/>
      <c r="F102" s="2"/>
      <c r="G102" s="2"/>
      <c r="H102" s="2"/>
      <c r="I102" s="15"/>
      <c r="J102" s="126"/>
      <c r="K102" s="127"/>
      <c r="L102" s="15"/>
      <c r="M102" s="128"/>
      <c r="N102" s="20"/>
      <c r="O102" s="20"/>
      <c r="P102" s="20"/>
      <c r="S102" s="19"/>
    </row>
    <row r="103" spans="1:19" ht="15">
      <c r="A103" s="3"/>
      <c r="C103" s="2"/>
      <c r="D103" s="2"/>
      <c r="E103" s="2"/>
      <c r="F103" s="2"/>
      <c r="G103" s="2"/>
      <c r="H103" s="2"/>
      <c r="I103" s="15"/>
      <c r="J103" s="126"/>
      <c r="K103" s="128"/>
      <c r="L103" s="15"/>
      <c r="M103" s="128"/>
      <c r="N103" s="20"/>
      <c r="O103" s="20"/>
      <c r="P103" s="20"/>
      <c r="S103" s="19"/>
    </row>
    <row r="104" spans="1:16" ht="15">
      <c r="A104" s="3"/>
      <c r="B104" s="3"/>
      <c r="C104" s="3"/>
      <c r="D104" s="3"/>
      <c r="E104" s="3"/>
      <c r="F104" s="3"/>
      <c r="G104" s="3"/>
      <c r="H104" s="3"/>
      <c r="I104" s="15"/>
      <c r="J104" s="15"/>
      <c r="K104" s="15"/>
      <c r="L104" s="15"/>
      <c r="M104" s="15"/>
      <c r="N104" s="20"/>
      <c r="O104" s="20"/>
      <c r="P104" s="20"/>
    </row>
    <row r="105" spans="1:16" ht="18.75">
      <c r="A105" s="3"/>
      <c r="B105" s="110" t="s">
        <v>385</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8" ht="90.75" customHeight="1">
      <c r="A107" s="3"/>
      <c r="B107" s="325" t="s">
        <v>33</v>
      </c>
      <c r="C107" s="326" t="s">
        <v>80</v>
      </c>
      <c r="D107" s="328" t="s">
        <v>367</v>
      </c>
      <c r="E107" s="328" t="s">
        <v>336</v>
      </c>
      <c r="F107" s="327" t="s">
        <v>337</v>
      </c>
      <c r="G107" s="327" t="s">
        <v>338</v>
      </c>
      <c r="H107" s="328" t="s">
        <v>339</v>
      </c>
      <c r="I107" s="328" t="s">
        <v>340</v>
      </c>
      <c r="J107" s="328" t="s">
        <v>341</v>
      </c>
      <c r="K107" s="329" t="s">
        <v>342</v>
      </c>
      <c r="L107" s="2"/>
      <c r="M107" s="20"/>
      <c r="N107" s="20"/>
      <c r="O107" s="20"/>
      <c r="P107" s="19"/>
      <c r="R107" s="20"/>
    </row>
    <row r="108" spans="1:18" ht="15">
      <c r="A108" s="3"/>
      <c r="B108" s="658" t="s">
        <v>373</v>
      </c>
      <c r="C108" s="493" t="s">
        <v>429</v>
      </c>
      <c r="D108" s="419"/>
      <c r="E108" s="420">
        <f>IF(ISBLANK(D108),"",D108*30)</f>
      </c>
      <c r="F108" s="371"/>
      <c r="G108" s="372">
        <f>IF(AND(E108&gt;0,F108&gt;0),(F108*E108),"")</f>
      </c>
      <c r="H108" s="371">
        <v>66</v>
      </c>
      <c r="I108" s="436" t="e">
        <f>IF(AND(G108&gt;0,H108&gt;0),H108/G108,"")</f>
        <v>#VALUE!</v>
      </c>
      <c r="J108" s="421">
        <v>2.6</v>
      </c>
      <c r="K108" s="485" t="e">
        <f>IF(AND(I108&gt;0,J108&gt;0),I108-J108,"")</f>
        <v>#VALUE!</v>
      </c>
      <c r="L108" s="2"/>
      <c r="M108" s="20"/>
      <c r="N108" s="20"/>
      <c r="O108" s="20"/>
      <c r="P108" s="19"/>
      <c r="R108" s="20"/>
    </row>
    <row r="109" spans="1:16" ht="15">
      <c r="A109" s="3"/>
      <c r="B109" s="659"/>
      <c r="C109" s="493" t="s">
        <v>430</v>
      </c>
      <c r="D109" s="419"/>
      <c r="E109" s="420">
        <f>IF(ISBLANK(D109),"",D109*30)</f>
      </c>
      <c r="F109" s="371"/>
      <c r="G109" s="372">
        <f>IF(AND(E109&gt;0,F109&gt;0),(F109*E109),"")</f>
      </c>
      <c r="H109" s="371">
        <v>1350</v>
      </c>
      <c r="I109" s="436" t="e">
        <f>IF(AND(G109&gt;0,H109&gt;0),H109/G109,"")</f>
        <v>#VALUE!</v>
      </c>
      <c r="J109" s="421">
        <v>2.2</v>
      </c>
      <c r="K109" s="485" t="e">
        <f>IF(AND(I109&gt;0,J109&gt;0),I109-J109,"")</f>
        <v>#VALUE!</v>
      </c>
      <c r="L109" s="2"/>
      <c r="M109" s="20"/>
      <c r="N109" s="20"/>
      <c r="O109" s="20"/>
      <c r="P109" s="19"/>
    </row>
    <row r="110" spans="1:18" ht="15">
      <c r="A110" s="3"/>
      <c r="B110" s="659"/>
      <c r="C110" s="493" t="s">
        <v>431</v>
      </c>
      <c r="D110" s="419"/>
      <c r="E110" s="420">
        <f>IF(ISBLANK(D110),"",D110*30)</f>
      </c>
      <c r="F110" s="371"/>
      <c r="G110" s="372">
        <f>IF(AND(E110&gt;0,F110&gt;0),(F110*E110),"")</f>
      </c>
      <c r="H110" s="371">
        <v>115</v>
      </c>
      <c r="I110" s="436" t="e">
        <f>IF(AND(G110&gt;0,H110&gt;0),H110/G110,"")</f>
        <v>#VALUE!</v>
      </c>
      <c r="J110" s="421">
        <v>2.2</v>
      </c>
      <c r="K110" s="485" t="e">
        <f>IF(AND(I110&gt;0,J110&gt;0),I110-J110,"")</f>
        <v>#VALUE!</v>
      </c>
      <c r="L110" s="2"/>
      <c r="M110" s="20"/>
      <c r="N110" s="20"/>
      <c r="O110" s="20"/>
      <c r="P110" s="19"/>
      <c r="R110" s="20"/>
    </row>
    <row r="111" spans="1:18" ht="15.75" thickBot="1">
      <c r="A111" s="3"/>
      <c r="B111" s="660"/>
      <c r="C111" s="422" t="s">
        <v>373</v>
      </c>
      <c r="D111" s="423"/>
      <c r="E111" s="475">
        <f>IF(ISBLANK(D111),"",D111*30)</f>
      </c>
      <c r="F111" s="373"/>
      <c r="G111" s="476">
        <f>IF(AND(E111&gt;0,F111&gt;0),(F111*E111),"")</f>
      </c>
      <c r="H111" s="373"/>
      <c r="I111" s="477">
        <f>IF(AND(G111&gt;0,H111&gt;0),H111/G111,"")</f>
      </c>
      <c r="J111" s="424"/>
      <c r="K111" s="486">
        <f>IF(AND(I111&gt;0,J111&gt;0),I111-J111,"")</f>
      </c>
      <c r="L111" s="2"/>
      <c r="M111" s="20"/>
      <c r="N111" s="20"/>
      <c r="O111" s="20"/>
      <c r="P111" s="19"/>
      <c r="R111" s="20"/>
    </row>
    <row r="112" spans="1:19" ht="15">
      <c r="A112" s="3"/>
      <c r="B112" s="3"/>
      <c r="C112" s="3"/>
      <c r="D112" s="3"/>
      <c r="E112" s="3"/>
      <c r="F112" s="3"/>
      <c r="G112" s="2"/>
      <c r="H112" s="2"/>
      <c r="I112" s="2"/>
      <c r="J112" s="3"/>
      <c r="K112" s="3"/>
      <c r="L112" s="2"/>
      <c r="M112" s="2"/>
      <c r="N112" s="20"/>
      <c r="O112" s="20"/>
      <c r="P112" s="20"/>
      <c r="Q112" s="19"/>
      <c r="S112" s="20"/>
    </row>
    <row r="113" spans="1:13" ht="15.75" thickBot="1">
      <c r="A113" s="3"/>
      <c r="B113" s="3"/>
      <c r="C113" s="3"/>
      <c r="D113" s="3"/>
      <c r="E113" s="3"/>
      <c r="F113" s="3"/>
      <c r="G113" s="3"/>
      <c r="H113" s="3"/>
      <c r="I113" s="2"/>
      <c r="J113" s="109"/>
      <c r="K113" s="109"/>
      <c r="L113" s="3"/>
      <c r="M113" s="3"/>
    </row>
    <row r="114" spans="1:17" ht="19.5" thickBot="1">
      <c r="A114" s="3"/>
      <c r="B114" s="243" t="s">
        <v>392</v>
      </c>
      <c r="C114" s="129"/>
      <c r="D114" s="129"/>
      <c r="E114" s="130"/>
      <c r="F114" s="130"/>
      <c r="G114" s="130"/>
      <c r="H114" s="258"/>
      <c r="I114" s="244"/>
      <c r="J114" s="347"/>
      <c r="K114" s="348" t="s">
        <v>371</v>
      </c>
      <c r="L114" s="130"/>
      <c r="M114" s="349"/>
      <c r="N114" s="350"/>
      <c r="O114" s="350"/>
      <c r="P114" s="426"/>
      <c r="Q114" s="36"/>
    </row>
    <row r="115" spans="1:19" ht="15.75" thickBot="1">
      <c r="A115" s="3"/>
      <c r="B115" s="3"/>
      <c r="C115" s="3"/>
      <c r="D115" s="3"/>
      <c r="E115" s="3"/>
      <c r="F115" s="3"/>
      <c r="G115" s="3"/>
      <c r="H115" s="3" t="s">
        <v>415</v>
      </c>
      <c r="I115" s="3" t="s">
        <v>416</v>
      </c>
      <c r="J115" s="3" t="s">
        <v>417</v>
      </c>
      <c r="K115" s="3" t="s">
        <v>418</v>
      </c>
      <c r="L115" s="3" t="s">
        <v>419</v>
      </c>
      <c r="M115" s="3" t="s">
        <v>420</v>
      </c>
      <c r="N115" s="3" t="s">
        <v>421</v>
      </c>
      <c r="O115" s="3" t="s">
        <v>422</v>
      </c>
      <c r="P115" s="491" t="s">
        <v>423</v>
      </c>
      <c r="Q115" s="491" t="s">
        <v>424</v>
      </c>
      <c r="R115" s="491" t="s">
        <v>425</v>
      </c>
      <c r="S115" s="491" t="s">
        <v>426</v>
      </c>
    </row>
    <row r="116" spans="1:20" ht="15">
      <c r="A116" s="3"/>
      <c r="B116" s="690" t="s">
        <v>398</v>
      </c>
      <c r="C116" s="691"/>
      <c r="D116" s="692"/>
      <c r="E116" s="333" t="s">
        <v>327</v>
      </c>
      <c r="F116" s="287" t="s">
        <v>344</v>
      </c>
      <c r="G116" s="248"/>
      <c r="H116" s="402" t="s">
        <v>106</v>
      </c>
      <c r="I116" s="402" t="s">
        <v>107</v>
      </c>
      <c r="J116" s="402" t="s">
        <v>108</v>
      </c>
      <c r="K116" s="402" t="s">
        <v>109</v>
      </c>
      <c r="L116" s="402" t="s">
        <v>120</v>
      </c>
      <c r="M116" s="402" t="s">
        <v>121</v>
      </c>
      <c r="N116" s="402" t="s">
        <v>122</v>
      </c>
      <c r="O116" s="402" t="s">
        <v>123</v>
      </c>
      <c r="P116" s="402" t="s">
        <v>124</v>
      </c>
      <c r="Q116" s="402" t="s">
        <v>125</v>
      </c>
      <c r="R116" s="402" t="s">
        <v>126</v>
      </c>
      <c r="S116" s="403" t="s">
        <v>287</v>
      </c>
      <c r="T116" s="64"/>
    </row>
    <row r="117" spans="1:20" ht="1.5" customHeight="1">
      <c r="A117" s="3"/>
      <c r="B117" s="452"/>
      <c r="C117" s="453"/>
      <c r="D117" s="453"/>
      <c r="E117" s="454"/>
      <c r="F117" s="455"/>
      <c r="G117" s="456"/>
      <c r="H117" s="457"/>
      <c r="I117" s="457"/>
      <c r="J117" s="457"/>
      <c r="K117" s="457"/>
      <c r="L117" s="457"/>
      <c r="M117" s="457"/>
      <c r="N117" s="457"/>
      <c r="O117" s="457"/>
      <c r="P117" s="457"/>
      <c r="Q117" s="457"/>
      <c r="R117" s="457"/>
      <c r="S117" s="458"/>
      <c r="T117" s="64"/>
    </row>
    <row r="118" spans="1:20" ht="15" customHeight="1">
      <c r="A118" s="695" t="s">
        <v>375</v>
      </c>
      <c r="B118" s="644" t="s">
        <v>433</v>
      </c>
      <c r="C118" s="645"/>
      <c r="D118" s="645"/>
      <c r="E118" s="630"/>
      <c r="F118" s="632"/>
      <c r="G118" s="249" t="s">
        <v>86</v>
      </c>
      <c r="H118" s="133">
        <f>23153*0.75</f>
        <v>17364.75</v>
      </c>
      <c r="I118" s="133">
        <v>23153</v>
      </c>
      <c r="J118" s="133"/>
      <c r="K118" s="282"/>
      <c r="L118" s="133"/>
      <c r="M118" s="133"/>
      <c r="N118" s="133"/>
      <c r="O118" s="133"/>
      <c r="P118" s="133"/>
      <c r="Q118" s="133"/>
      <c r="R118" s="133"/>
      <c r="S118" s="134"/>
      <c r="T118" s="64"/>
    </row>
    <row r="119" spans="1:20" ht="15">
      <c r="A119" s="695"/>
      <c r="B119" s="616"/>
      <c r="C119" s="617"/>
      <c r="D119" s="617"/>
      <c r="E119" s="631"/>
      <c r="F119" s="632"/>
      <c r="G119" s="249" t="s">
        <v>87</v>
      </c>
      <c r="H119" s="133">
        <v>11025</v>
      </c>
      <c r="I119" s="133">
        <v>14891</v>
      </c>
      <c r="J119" s="133"/>
      <c r="K119" s="282"/>
      <c r="L119" s="133"/>
      <c r="M119" s="133"/>
      <c r="N119" s="133"/>
      <c r="O119" s="133"/>
      <c r="P119" s="133"/>
      <c r="Q119" s="133"/>
      <c r="R119" s="133"/>
      <c r="S119" s="134"/>
      <c r="T119" s="64"/>
    </row>
    <row r="120" spans="1:20" ht="15" customHeight="1">
      <c r="A120" s="695"/>
      <c r="B120" s="616" t="s">
        <v>434</v>
      </c>
      <c r="C120" s="617"/>
      <c r="D120" s="617"/>
      <c r="E120" s="622"/>
      <c r="F120" s="633"/>
      <c r="G120" s="463" t="s">
        <v>86</v>
      </c>
      <c r="H120" s="245">
        <f>11345*0.75</f>
        <v>8508.75</v>
      </c>
      <c r="I120" s="245">
        <v>11345</v>
      </c>
      <c r="J120" s="245"/>
      <c r="K120" s="283"/>
      <c r="L120" s="245"/>
      <c r="M120" s="245"/>
      <c r="N120" s="245"/>
      <c r="O120" s="245"/>
      <c r="P120" s="245"/>
      <c r="Q120" s="245"/>
      <c r="R120" s="245"/>
      <c r="S120" s="330"/>
      <c r="T120" s="64"/>
    </row>
    <row r="121" spans="1:20" ht="15">
      <c r="A121" s="695"/>
      <c r="B121" s="616"/>
      <c r="C121" s="617"/>
      <c r="D121" s="617"/>
      <c r="E121" s="622"/>
      <c r="F121" s="634"/>
      <c r="G121" s="463" t="s">
        <v>87</v>
      </c>
      <c r="H121" s="245">
        <v>5642</v>
      </c>
      <c r="I121" s="245">
        <f>'[2]Cases (All forms)'!$E$77</f>
        <v>8178</v>
      </c>
      <c r="J121" s="331"/>
      <c r="K121" s="332"/>
      <c r="L121" s="331"/>
      <c r="M121" s="331"/>
      <c r="N121" s="331"/>
      <c r="O121" s="331"/>
      <c r="P121" s="245"/>
      <c r="Q121" s="245"/>
      <c r="R121" s="245"/>
      <c r="S121" s="330"/>
      <c r="T121" s="64"/>
    </row>
    <row r="122" spans="1:20" ht="15" customHeight="1">
      <c r="A122" s="695"/>
      <c r="B122" s="616" t="s">
        <v>435</v>
      </c>
      <c r="C122" s="617"/>
      <c r="D122" s="617"/>
      <c r="E122" s="620"/>
      <c r="F122" s="652"/>
      <c r="G122" s="249" t="s">
        <v>86</v>
      </c>
      <c r="H122" s="503">
        <v>0.87</v>
      </c>
      <c r="I122" s="503">
        <v>0.87</v>
      </c>
      <c r="J122" s="133"/>
      <c r="K122" s="133"/>
      <c r="L122" s="133"/>
      <c r="M122" s="133"/>
      <c r="N122" s="133"/>
      <c r="O122" s="133"/>
      <c r="P122" s="133"/>
      <c r="Q122" s="133"/>
      <c r="R122" s="133"/>
      <c r="S122" s="134"/>
      <c r="T122" s="64"/>
    </row>
    <row r="123" spans="1:20" ht="15">
      <c r="A123" s="695"/>
      <c r="B123" s="616"/>
      <c r="C123" s="617"/>
      <c r="D123" s="617"/>
      <c r="E123" s="620"/>
      <c r="F123" s="653"/>
      <c r="G123" s="249" t="s">
        <v>87</v>
      </c>
      <c r="H123" s="503">
        <v>0.84</v>
      </c>
      <c r="I123" s="503">
        <f>'[1]Outcomes'!$M$13</f>
        <v>0.8526803983085527</v>
      </c>
      <c r="J123" s="133"/>
      <c r="K123" s="133"/>
      <c r="L123" s="133"/>
      <c r="M123" s="133"/>
      <c r="N123" s="133"/>
      <c r="O123" s="133"/>
      <c r="P123" s="133"/>
      <c r="Q123" s="133"/>
      <c r="R123" s="133"/>
      <c r="S123" s="134"/>
      <c r="T123" s="64"/>
    </row>
    <row r="124" spans="1:20" ht="15" customHeight="1">
      <c r="A124" s="3"/>
      <c r="B124" s="616" t="s">
        <v>436</v>
      </c>
      <c r="C124" s="617"/>
      <c r="D124" s="617"/>
      <c r="E124" s="622"/>
      <c r="F124" s="648"/>
      <c r="G124" s="463" t="s">
        <v>86</v>
      </c>
      <c r="H124" s="332" t="s">
        <v>432</v>
      </c>
      <c r="I124" s="504">
        <v>0.65</v>
      </c>
      <c r="J124" s="245"/>
      <c r="K124" s="283"/>
      <c r="L124" s="245"/>
      <c r="M124" s="245"/>
      <c r="N124" s="245"/>
      <c r="O124" s="245"/>
      <c r="P124" s="245"/>
      <c r="Q124" s="245"/>
      <c r="R124" s="245"/>
      <c r="S124" s="330"/>
      <c r="T124" s="64"/>
    </row>
    <row r="125" spans="1:20" ht="15">
      <c r="A125" s="3"/>
      <c r="B125" s="616"/>
      <c r="C125" s="617"/>
      <c r="D125" s="617"/>
      <c r="E125" s="622"/>
      <c r="F125" s="634"/>
      <c r="G125" s="463" t="s">
        <v>87</v>
      </c>
      <c r="H125" s="332" t="s">
        <v>432</v>
      </c>
      <c r="I125" s="504">
        <f>269/296</f>
        <v>0.9087837837837838</v>
      </c>
      <c r="J125" s="245"/>
      <c r="K125" s="283"/>
      <c r="L125" s="245"/>
      <c r="M125" s="245"/>
      <c r="N125" s="245"/>
      <c r="O125" s="245"/>
      <c r="P125" s="245"/>
      <c r="Q125" s="245"/>
      <c r="R125" s="245"/>
      <c r="S125" s="330"/>
      <c r="T125" s="64"/>
    </row>
    <row r="126" spans="1:20" ht="15" customHeight="1">
      <c r="A126" s="3"/>
      <c r="B126" s="616" t="s">
        <v>437</v>
      </c>
      <c r="C126" s="617"/>
      <c r="D126" s="617"/>
      <c r="E126" s="620"/>
      <c r="F126" s="652"/>
      <c r="G126" s="464" t="s">
        <v>86</v>
      </c>
      <c r="H126" s="499">
        <v>1</v>
      </c>
      <c r="I126" s="501">
        <v>1</v>
      </c>
      <c r="J126" s="465"/>
      <c r="K126" s="466"/>
      <c r="L126" s="465"/>
      <c r="M126" s="465"/>
      <c r="N126" s="465"/>
      <c r="O126" s="465"/>
      <c r="P126" s="465"/>
      <c r="Q126" s="465"/>
      <c r="R126" s="465"/>
      <c r="S126" s="467"/>
      <c r="T126" s="64"/>
    </row>
    <row r="127" spans="1:20" ht="15">
      <c r="A127" s="3"/>
      <c r="B127" s="616"/>
      <c r="C127" s="617"/>
      <c r="D127" s="617"/>
      <c r="E127" s="620"/>
      <c r="F127" s="653"/>
      <c r="G127" s="464" t="s">
        <v>87</v>
      </c>
      <c r="H127" s="501">
        <v>1</v>
      </c>
      <c r="I127" s="501">
        <v>1</v>
      </c>
      <c r="J127" s="465"/>
      <c r="K127" s="466"/>
      <c r="L127" s="465"/>
      <c r="M127" s="465"/>
      <c r="N127" s="465"/>
      <c r="O127" s="465"/>
      <c r="P127" s="465"/>
      <c r="Q127" s="465"/>
      <c r="R127" s="465"/>
      <c r="S127" s="467"/>
      <c r="T127" s="64"/>
    </row>
    <row r="128" spans="1:20" ht="15" customHeight="1">
      <c r="A128" s="3"/>
      <c r="B128" s="616" t="s">
        <v>438</v>
      </c>
      <c r="C128" s="617"/>
      <c r="D128" s="617"/>
      <c r="E128" s="622"/>
      <c r="F128" s="648"/>
      <c r="G128" s="463" t="s">
        <v>86</v>
      </c>
      <c r="H128" s="500">
        <v>0.06</v>
      </c>
      <c r="I128" s="502">
        <v>0.06</v>
      </c>
      <c r="J128" s="331"/>
      <c r="K128" s="332"/>
      <c r="L128" s="331"/>
      <c r="M128" s="331"/>
      <c r="N128" s="331"/>
      <c r="O128" s="331"/>
      <c r="P128" s="331"/>
      <c r="Q128" s="331"/>
      <c r="R128" s="331"/>
      <c r="S128" s="468"/>
      <c r="T128" s="64"/>
    </row>
    <row r="129" spans="1:20" ht="15">
      <c r="A129" s="3"/>
      <c r="B129" s="616"/>
      <c r="C129" s="617"/>
      <c r="D129" s="617"/>
      <c r="E129" s="622"/>
      <c r="F129" s="634"/>
      <c r="G129" s="463" t="s">
        <v>87</v>
      </c>
      <c r="H129" s="502">
        <f>250/9915</f>
        <v>0.025214321734745335</v>
      </c>
      <c r="I129" s="502">
        <f>342/14999</f>
        <v>0.022801520101340088</v>
      </c>
      <c r="J129" s="245"/>
      <c r="K129" s="283"/>
      <c r="L129" s="245"/>
      <c r="M129" s="245"/>
      <c r="N129" s="245"/>
      <c r="O129" s="245"/>
      <c r="P129" s="331"/>
      <c r="Q129" s="331"/>
      <c r="R129" s="331"/>
      <c r="S129" s="468"/>
      <c r="T129" s="64"/>
    </row>
    <row r="130" spans="1:20" ht="15" customHeight="1">
      <c r="A130" s="3"/>
      <c r="B130" s="673" t="s">
        <v>439</v>
      </c>
      <c r="C130" s="674"/>
      <c r="D130" s="674"/>
      <c r="E130" s="620"/>
      <c r="F130" s="632"/>
      <c r="G130" s="464" t="s">
        <v>86</v>
      </c>
      <c r="H130" s="499">
        <v>0.5</v>
      </c>
      <c r="I130" s="499">
        <v>0.5</v>
      </c>
      <c r="J130" s="465"/>
      <c r="K130" s="466"/>
      <c r="L130" s="465"/>
      <c r="M130" s="465"/>
      <c r="N130" s="465"/>
      <c r="O130" s="465"/>
      <c r="P130" s="465"/>
      <c r="Q130" s="465"/>
      <c r="R130" s="465"/>
      <c r="S130" s="467"/>
      <c r="T130" s="64"/>
    </row>
    <row r="131" spans="1:20" ht="15">
      <c r="A131" s="3"/>
      <c r="B131" s="616"/>
      <c r="C131" s="617"/>
      <c r="D131" s="617"/>
      <c r="E131" s="620"/>
      <c r="F131" s="632"/>
      <c r="G131" s="464" t="s">
        <v>87</v>
      </c>
      <c r="H131" s="499">
        <f>534/643</f>
        <v>0.8304821150855366</v>
      </c>
      <c r="I131" s="499">
        <f>745/1170</f>
        <v>0.6367521367521367</v>
      </c>
      <c r="J131" s="465"/>
      <c r="K131" s="466"/>
      <c r="L131" s="465"/>
      <c r="M131" s="465"/>
      <c r="N131" s="465"/>
      <c r="O131" s="465"/>
      <c r="P131" s="465"/>
      <c r="Q131" s="465"/>
      <c r="R131" s="465"/>
      <c r="S131" s="467"/>
      <c r="T131" s="64"/>
    </row>
    <row r="132" spans="1:20" ht="14.25" customHeight="1">
      <c r="A132" s="3"/>
      <c r="B132" s="616" t="s">
        <v>440</v>
      </c>
      <c r="C132" s="617"/>
      <c r="D132" s="617"/>
      <c r="E132" s="675"/>
      <c r="F132" s="624"/>
      <c r="G132" s="463" t="s">
        <v>86</v>
      </c>
      <c r="H132" s="331">
        <f>137*0.75</f>
        <v>102.75</v>
      </c>
      <c r="I132" s="331">
        <v>137</v>
      </c>
      <c r="J132" s="331"/>
      <c r="K132" s="331"/>
      <c r="L132" s="331"/>
      <c r="M132" s="331"/>
      <c r="N132" s="331"/>
      <c r="O132" s="331"/>
      <c r="P132" s="331"/>
      <c r="Q132" s="331"/>
      <c r="R132" s="331"/>
      <c r="S132" s="468"/>
      <c r="T132" s="64"/>
    </row>
    <row r="133" spans="1:20" ht="15">
      <c r="A133" s="3"/>
      <c r="B133" s="616"/>
      <c r="C133" s="617"/>
      <c r="D133" s="617"/>
      <c r="E133" s="675"/>
      <c r="F133" s="624"/>
      <c r="G133" s="463" t="s">
        <v>87</v>
      </c>
      <c r="H133" s="331">
        <v>34</v>
      </c>
      <c r="I133" s="331">
        <v>62</v>
      </c>
      <c r="J133" s="331"/>
      <c r="K133" s="331"/>
      <c r="L133" s="331"/>
      <c r="M133" s="331"/>
      <c r="N133" s="331"/>
      <c r="O133" s="331"/>
      <c r="P133" s="331"/>
      <c r="Q133" s="331"/>
      <c r="R133" s="331"/>
      <c r="S133" s="468"/>
      <c r="T133" s="64"/>
    </row>
    <row r="134" spans="1:20" ht="14.25" customHeight="1">
      <c r="A134" s="3"/>
      <c r="B134" s="616" t="s">
        <v>441</v>
      </c>
      <c r="C134" s="617"/>
      <c r="D134" s="617"/>
      <c r="E134" s="620"/>
      <c r="F134" s="621"/>
      <c r="G134" s="464" t="s">
        <v>86</v>
      </c>
      <c r="H134" s="466">
        <f>137*0.75</f>
        <v>102.75</v>
      </c>
      <c r="I134" s="466">
        <v>62</v>
      </c>
      <c r="J134" s="465"/>
      <c r="K134" s="465"/>
      <c r="L134" s="465"/>
      <c r="M134" s="465"/>
      <c r="N134" s="465"/>
      <c r="O134" s="465"/>
      <c r="P134" s="465"/>
      <c r="Q134" s="465"/>
      <c r="R134" s="465"/>
      <c r="S134" s="467"/>
      <c r="T134" s="64"/>
    </row>
    <row r="135" spans="1:20" ht="15">
      <c r="A135" s="3"/>
      <c r="B135" s="616"/>
      <c r="C135" s="617"/>
      <c r="D135" s="617"/>
      <c r="E135" s="620"/>
      <c r="F135" s="621"/>
      <c r="G135" s="464" t="s">
        <v>87</v>
      </c>
      <c r="H135" s="466">
        <v>30</v>
      </c>
      <c r="I135" s="466">
        <v>60</v>
      </c>
      <c r="J135" s="465"/>
      <c r="K135" s="465"/>
      <c r="L135" s="465"/>
      <c r="M135" s="465"/>
      <c r="N135" s="465"/>
      <c r="O135" s="465"/>
      <c r="P135" s="465"/>
      <c r="Q135" s="465"/>
      <c r="R135" s="465"/>
      <c r="S135" s="467"/>
      <c r="T135" s="64"/>
    </row>
    <row r="136" spans="1:20" ht="14.25" customHeight="1">
      <c r="A136" s="3"/>
      <c r="B136" s="644" t="s">
        <v>442</v>
      </c>
      <c r="C136" s="645"/>
      <c r="D136" s="645"/>
      <c r="E136" s="622"/>
      <c r="F136" s="624"/>
      <c r="G136" s="463" t="s">
        <v>86</v>
      </c>
      <c r="H136" s="500">
        <v>0.75</v>
      </c>
      <c r="I136" s="500">
        <v>0.75</v>
      </c>
      <c r="J136" s="331"/>
      <c r="K136" s="331"/>
      <c r="L136" s="331"/>
      <c r="M136" s="331"/>
      <c r="N136" s="331"/>
      <c r="O136" s="331"/>
      <c r="P136" s="331"/>
      <c r="Q136" s="331"/>
      <c r="R136" s="331"/>
      <c r="S136" s="468"/>
      <c r="T136" s="64"/>
    </row>
    <row r="137" spans="1:20" ht="15.75" thickBot="1">
      <c r="A137" s="3"/>
      <c r="B137" s="616"/>
      <c r="C137" s="617"/>
      <c r="D137" s="617"/>
      <c r="E137" s="623"/>
      <c r="F137" s="625"/>
      <c r="G137" s="469" t="s">
        <v>87</v>
      </c>
      <c r="H137" s="505">
        <f>8832/11025</f>
        <v>0.8010884353741496</v>
      </c>
      <c r="I137" s="505">
        <f>11959/14891</f>
        <v>0.8031025451615069</v>
      </c>
      <c r="J137" s="470"/>
      <c r="K137" s="470"/>
      <c r="L137" s="470"/>
      <c r="M137" s="470"/>
      <c r="N137" s="470"/>
      <c r="O137" s="470"/>
      <c r="P137" s="470"/>
      <c r="Q137" s="470"/>
      <c r="R137" s="470"/>
      <c r="S137" s="471"/>
      <c r="T137" s="64"/>
    </row>
    <row r="138" spans="1:19" ht="15">
      <c r="A138" s="3"/>
      <c r="B138" s="616" t="s">
        <v>443</v>
      </c>
      <c r="C138" s="617"/>
      <c r="D138" s="617"/>
      <c r="E138" s="620"/>
      <c r="F138" s="621"/>
      <c r="G138" s="464" t="s">
        <v>86</v>
      </c>
      <c r="H138" s="501">
        <v>0.75</v>
      </c>
      <c r="I138" s="500">
        <v>0.75</v>
      </c>
      <c r="J138" s="3"/>
      <c r="K138" s="3"/>
      <c r="L138" s="3"/>
      <c r="M138" s="3"/>
      <c r="N138" s="3"/>
      <c r="O138" s="3"/>
      <c r="R138" s="36"/>
      <c r="S138" s="36"/>
    </row>
    <row r="139" spans="1:19" ht="15.75" thickBot="1">
      <c r="A139" s="3"/>
      <c r="B139" s="616"/>
      <c r="C139" s="617"/>
      <c r="D139" s="617"/>
      <c r="E139" s="620"/>
      <c r="F139" s="621"/>
      <c r="G139" s="464" t="s">
        <v>87</v>
      </c>
      <c r="H139" s="501">
        <f>827/1968</f>
        <v>0.42022357723577236</v>
      </c>
      <c r="I139" s="505">
        <f>1002/2238</f>
        <v>0.4477211796246649</v>
      </c>
      <c r="J139" s="3"/>
      <c r="K139" s="3"/>
      <c r="L139" s="3"/>
      <c r="M139" s="3"/>
      <c r="N139" s="3"/>
      <c r="O139" s="3"/>
      <c r="R139" s="36"/>
      <c r="S139" s="36"/>
    </row>
    <row r="140" spans="1:19" ht="15">
      <c r="A140" s="3"/>
      <c r="B140" s="3"/>
      <c r="C140" s="3"/>
      <c r="D140" s="3"/>
      <c r="E140" s="3"/>
      <c r="F140" s="3"/>
      <c r="G140" s="2"/>
      <c r="H140" s="3"/>
      <c r="I140" s="3"/>
      <c r="J140" s="3"/>
      <c r="K140" s="3"/>
      <c r="L140" s="3"/>
      <c r="M140" s="3"/>
      <c r="N140" s="3"/>
      <c r="O140" s="3"/>
      <c r="R140" s="36"/>
      <c r="S140" s="36"/>
    </row>
    <row r="141" spans="1:19" ht="16.5" thickBot="1">
      <c r="A141" s="3"/>
      <c r="B141" s="335"/>
      <c r="C141" s="3"/>
      <c r="D141" s="3"/>
      <c r="E141" s="3"/>
      <c r="F141" s="3"/>
      <c r="G141" s="2"/>
      <c r="H141" s="3"/>
      <c r="I141" s="3"/>
      <c r="J141" s="3"/>
      <c r="K141" s="3"/>
      <c r="L141" s="3"/>
      <c r="M141" s="3"/>
      <c r="N141" s="3"/>
      <c r="O141" s="3"/>
      <c r="R141" s="36"/>
      <c r="S141" s="36"/>
    </row>
    <row r="142" spans="1:21" ht="15.75" thickBot="1">
      <c r="A142" s="3"/>
      <c r="B142" s="3" t="s">
        <v>406</v>
      </c>
      <c r="C142" s="3"/>
      <c r="D142" s="3"/>
      <c r="E142" s="333" t="s">
        <v>327</v>
      </c>
      <c r="F142" s="287" t="s">
        <v>344</v>
      </c>
      <c r="G142" s="248"/>
      <c r="H142" s="402" t="str">
        <f aca="true" t="shared" si="6" ref="H142:S142">C30</f>
        <v>P1</v>
      </c>
      <c r="I142" s="402" t="str">
        <f t="shared" si="6"/>
        <v>P2</v>
      </c>
      <c r="J142" s="402" t="str">
        <f t="shared" si="6"/>
        <v>P3</v>
      </c>
      <c r="K142" s="402" t="str">
        <f t="shared" si="6"/>
        <v>P4</v>
      </c>
      <c r="L142" s="402" t="str">
        <f t="shared" si="6"/>
        <v>P5</v>
      </c>
      <c r="M142" s="402" t="str">
        <f t="shared" si="6"/>
        <v>P6</v>
      </c>
      <c r="N142" s="402" t="str">
        <f t="shared" si="6"/>
        <v>P7</v>
      </c>
      <c r="O142" s="402" t="str">
        <f t="shared" si="6"/>
        <v>P8</v>
      </c>
      <c r="P142" s="402" t="str">
        <f t="shared" si="6"/>
        <v>P9</v>
      </c>
      <c r="Q142" s="402" t="str">
        <f t="shared" si="6"/>
        <v>P10</v>
      </c>
      <c r="R142" s="402" t="str">
        <f t="shared" si="6"/>
        <v>P11</v>
      </c>
      <c r="S142" s="403" t="str">
        <f t="shared" si="6"/>
        <v>P12</v>
      </c>
      <c r="T142" s="36"/>
      <c r="U142" s="36"/>
    </row>
    <row r="143" spans="1:21" ht="15">
      <c r="A143" s="3"/>
      <c r="B143" s="664" t="str">
        <f>IF(ISBLANK(B118),"",(B118))</f>
        <v>DOTS-1a: Number of notified cases of all forms of TB - bacteriologically confirmed plus clinically diagnosed, new and relapses</v>
      </c>
      <c r="C143" s="665"/>
      <c r="D143" s="666"/>
      <c r="E143" s="626">
        <f>IF(ISBLANK(E118),"",(E118))</f>
      </c>
      <c r="F143" s="618">
        <f>IF(ISBLANK(F118),"",(F118))</f>
      </c>
      <c r="G143" s="361" t="s">
        <v>86</v>
      </c>
      <c r="H143" s="434">
        <f aca="true" t="shared" si="7" ref="H143:S143">H118</f>
        <v>17364.75</v>
      </c>
      <c r="I143" s="434">
        <f t="shared" si="7"/>
        <v>23153</v>
      </c>
      <c r="J143" s="434">
        <f t="shared" si="7"/>
        <v>0</v>
      </c>
      <c r="K143" s="434">
        <f t="shared" si="7"/>
        <v>0</v>
      </c>
      <c r="L143" s="434">
        <f t="shared" si="7"/>
        <v>0</v>
      </c>
      <c r="M143" s="434">
        <f t="shared" si="7"/>
        <v>0</v>
      </c>
      <c r="N143" s="434">
        <f t="shared" si="7"/>
        <v>0</v>
      </c>
      <c r="O143" s="434">
        <f t="shared" si="7"/>
        <v>0</v>
      </c>
      <c r="P143" s="434">
        <f t="shared" si="7"/>
        <v>0</v>
      </c>
      <c r="Q143" s="434">
        <f t="shared" si="7"/>
        <v>0</v>
      </c>
      <c r="R143" s="434">
        <f t="shared" si="7"/>
        <v>0</v>
      </c>
      <c r="S143" s="487">
        <f t="shared" si="7"/>
        <v>0</v>
      </c>
      <c r="T143" s="36"/>
      <c r="U143" s="36"/>
    </row>
    <row r="144" spans="1:21" ht="15">
      <c r="A144" s="3"/>
      <c r="B144" s="667"/>
      <c r="C144" s="668"/>
      <c r="D144" s="669"/>
      <c r="E144" s="626"/>
      <c r="F144" s="618"/>
      <c r="G144" s="131" t="s">
        <v>87</v>
      </c>
      <c r="H144" s="434">
        <f aca="true" t="shared" si="8" ref="H144:K148">H119</f>
        <v>11025</v>
      </c>
      <c r="I144" s="434">
        <f t="shared" si="8"/>
        <v>14891</v>
      </c>
      <c r="J144" s="434">
        <f t="shared" si="8"/>
        <v>0</v>
      </c>
      <c r="K144" s="434">
        <f t="shared" si="8"/>
        <v>0</v>
      </c>
      <c r="L144" s="434">
        <f aca="true" t="shared" si="9" ref="L144:S144">L119</f>
        <v>0</v>
      </c>
      <c r="M144" s="434">
        <f t="shared" si="9"/>
        <v>0</v>
      </c>
      <c r="N144" s="434">
        <f t="shared" si="9"/>
        <v>0</v>
      </c>
      <c r="O144" s="434">
        <f t="shared" si="9"/>
        <v>0</v>
      </c>
      <c r="P144" s="434">
        <f t="shared" si="9"/>
        <v>0</v>
      </c>
      <c r="Q144" s="434">
        <f t="shared" si="9"/>
        <v>0</v>
      </c>
      <c r="R144" s="434">
        <f t="shared" si="9"/>
        <v>0</v>
      </c>
      <c r="S144" s="487">
        <f t="shared" si="9"/>
        <v>0</v>
      </c>
      <c r="T144" s="36"/>
      <c r="U144" s="36"/>
    </row>
    <row r="145" spans="1:21" ht="15">
      <c r="A145" s="3"/>
      <c r="B145" s="670" t="str">
        <f>IF(ISBLANK(B120),"",(B120))</f>
        <v>DOTS-1b: Number of notified cases of bacteriologically confirmed TB, new and relapses</v>
      </c>
      <c r="C145" s="671"/>
      <c r="D145" s="672"/>
      <c r="E145" s="646">
        <f>IF(ISBLANK(E120),"",(E120))</f>
      </c>
      <c r="F145" s="647">
        <f>IF(ISBLANK(F120),"",(F120))</f>
      </c>
      <c r="G145" s="472" t="s">
        <v>86</v>
      </c>
      <c r="H145" s="473">
        <f t="shared" si="8"/>
        <v>8508.75</v>
      </c>
      <c r="I145" s="473">
        <f>I120</f>
        <v>11345</v>
      </c>
      <c r="J145" s="473">
        <f t="shared" si="8"/>
        <v>0</v>
      </c>
      <c r="K145" s="473">
        <f>K120</f>
        <v>0</v>
      </c>
      <c r="L145" s="473">
        <f aca="true" t="shared" si="10" ref="L145:S145">L120</f>
        <v>0</v>
      </c>
      <c r="M145" s="473">
        <f t="shared" si="10"/>
        <v>0</v>
      </c>
      <c r="N145" s="473">
        <f t="shared" si="10"/>
        <v>0</v>
      </c>
      <c r="O145" s="473">
        <f t="shared" si="10"/>
        <v>0</v>
      </c>
      <c r="P145" s="473">
        <f t="shared" si="10"/>
        <v>0</v>
      </c>
      <c r="Q145" s="473">
        <f t="shared" si="10"/>
        <v>0</v>
      </c>
      <c r="R145" s="473">
        <f t="shared" si="10"/>
        <v>0</v>
      </c>
      <c r="S145" s="488">
        <f t="shared" si="10"/>
        <v>0</v>
      </c>
      <c r="T145" s="36"/>
      <c r="U145" s="36"/>
    </row>
    <row r="146" spans="1:21" ht="15">
      <c r="A146" s="3"/>
      <c r="B146" s="670"/>
      <c r="C146" s="671"/>
      <c r="D146" s="672"/>
      <c r="E146" s="646"/>
      <c r="F146" s="647"/>
      <c r="G146" s="472" t="s">
        <v>87</v>
      </c>
      <c r="H146" s="473">
        <f t="shared" si="8"/>
        <v>5642</v>
      </c>
      <c r="I146" s="473">
        <f t="shared" si="8"/>
        <v>8178</v>
      </c>
      <c r="J146" s="473">
        <f t="shared" si="8"/>
        <v>0</v>
      </c>
      <c r="K146" s="473">
        <f t="shared" si="8"/>
        <v>0</v>
      </c>
      <c r="L146" s="473">
        <f aca="true" t="shared" si="11" ref="L146:S146">L121</f>
        <v>0</v>
      </c>
      <c r="M146" s="473">
        <f t="shared" si="11"/>
        <v>0</v>
      </c>
      <c r="N146" s="473">
        <f t="shared" si="11"/>
        <v>0</v>
      </c>
      <c r="O146" s="473">
        <f t="shared" si="11"/>
        <v>0</v>
      </c>
      <c r="P146" s="473">
        <f t="shared" si="11"/>
        <v>0</v>
      </c>
      <c r="Q146" s="473">
        <f t="shared" si="11"/>
        <v>0</v>
      </c>
      <c r="R146" s="473">
        <f t="shared" si="11"/>
        <v>0</v>
      </c>
      <c r="S146" s="488">
        <f t="shared" si="11"/>
        <v>0</v>
      </c>
      <c r="T146" s="36"/>
      <c r="U146" s="36"/>
    </row>
    <row r="147" spans="1:21" ht="15">
      <c r="A147" s="3"/>
      <c r="B147" s="638" t="str">
        <f>IF(ISBLANK(B122),"",(B122))</f>
        <v>DOTS-2a: Percentage of TB cases, all forms, bacteriologically confirmed plus clinically diagnosed, successfully treated (cured plus treatment completed) among all new TB cases registered for treatment during a specified period</v>
      </c>
      <c r="C147" s="639"/>
      <c r="D147" s="640"/>
      <c r="E147" s="626">
        <f>IF(ISBLANK(E122),"",(E122))</f>
      </c>
      <c r="F147" s="618">
        <f>IF(ISBLANK(F122),"",(F122))</f>
      </c>
      <c r="G147" s="131" t="s">
        <v>86</v>
      </c>
      <c r="H147" s="434">
        <f t="shared" si="8"/>
        <v>0.87</v>
      </c>
      <c r="I147" s="434">
        <f t="shared" si="8"/>
        <v>0.87</v>
      </c>
      <c r="J147" s="434">
        <f t="shared" si="8"/>
        <v>0</v>
      </c>
      <c r="K147" s="434">
        <f t="shared" si="8"/>
        <v>0</v>
      </c>
      <c r="L147" s="434">
        <f aca="true" t="shared" si="12" ref="L147:S147">L122</f>
        <v>0</v>
      </c>
      <c r="M147" s="434">
        <f t="shared" si="12"/>
        <v>0</v>
      </c>
      <c r="N147" s="434">
        <f t="shared" si="12"/>
        <v>0</v>
      </c>
      <c r="O147" s="434">
        <f t="shared" si="12"/>
        <v>0</v>
      </c>
      <c r="P147" s="434">
        <f t="shared" si="12"/>
        <v>0</v>
      </c>
      <c r="Q147" s="434">
        <f t="shared" si="12"/>
        <v>0</v>
      </c>
      <c r="R147" s="434">
        <f t="shared" si="12"/>
        <v>0</v>
      </c>
      <c r="S147" s="487">
        <f t="shared" si="12"/>
        <v>0</v>
      </c>
      <c r="T147" s="36"/>
      <c r="U147" s="36"/>
    </row>
    <row r="148" spans="1:21" ht="15.75" thickBot="1">
      <c r="A148" s="3"/>
      <c r="B148" s="641"/>
      <c r="C148" s="642"/>
      <c r="D148" s="643"/>
      <c r="E148" s="649"/>
      <c r="F148" s="619"/>
      <c r="G148" s="132" t="s">
        <v>87</v>
      </c>
      <c r="H148" s="435">
        <f t="shared" si="8"/>
        <v>0.84</v>
      </c>
      <c r="I148" s="435">
        <f t="shared" si="8"/>
        <v>0.8526803983085527</v>
      </c>
      <c r="J148" s="435">
        <f t="shared" si="8"/>
        <v>0</v>
      </c>
      <c r="K148" s="435">
        <f t="shared" si="8"/>
        <v>0</v>
      </c>
      <c r="L148" s="435">
        <f aca="true" t="shared" si="13" ref="L148:S148">L123</f>
        <v>0</v>
      </c>
      <c r="M148" s="435">
        <f t="shared" si="13"/>
        <v>0</v>
      </c>
      <c r="N148" s="435">
        <f t="shared" si="13"/>
        <v>0</v>
      </c>
      <c r="O148" s="435">
        <f t="shared" si="13"/>
        <v>0</v>
      </c>
      <c r="P148" s="435">
        <f t="shared" si="13"/>
        <v>0</v>
      </c>
      <c r="Q148" s="435">
        <f t="shared" si="13"/>
        <v>0</v>
      </c>
      <c r="R148" s="435">
        <f t="shared" si="13"/>
        <v>0</v>
      </c>
      <c r="S148" s="489">
        <f t="shared" si="13"/>
        <v>0</v>
      </c>
      <c r="T148" s="36"/>
      <c r="U148" s="36"/>
    </row>
    <row r="149" spans="1:19" ht="15">
      <c r="A149" s="3"/>
      <c r="B149" s="3"/>
      <c r="C149" s="3"/>
      <c r="D149" s="3"/>
      <c r="E149" s="3"/>
      <c r="F149" s="3"/>
      <c r="G149" s="3"/>
      <c r="H149" s="3"/>
      <c r="I149" s="3"/>
      <c r="J149" s="3"/>
      <c r="K149" s="3"/>
      <c r="L149" s="3"/>
      <c r="M149" s="3"/>
      <c r="N149"/>
      <c r="O149"/>
      <c r="P149" s="36"/>
      <c r="Q149" s="36"/>
      <c r="S149" s="474"/>
    </row>
    <row r="150" spans="14:17" ht="15">
      <c r="N150"/>
      <c r="O150"/>
      <c r="P150" s="36"/>
      <c r="Q150" s="36"/>
    </row>
    <row r="151" spans="14:17" ht="15">
      <c r="N151"/>
      <c r="O151"/>
      <c r="P151" s="36"/>
      <c r="Q151" s="36"/>
    </row>
    <row r="152" spans="14:17" ht="15">
      <c r="N152"/>
      <c r="O152"/>
      <c r="P152" s="36"/>
      <c r="Q152" s="36"/>
    </row>
  </sheetData>
  <sheetProtection/>
  <mergeCells count="76">
    <mergeCell ref="C6:D6"/>
    <mergeCell ref="E6:F6"/>
    <mergeCell ref="B72:C72"/>
    <mergeCell ref="A118:A123"/>
    <mergeCell ref="B29:N29"/>
    <mergeCell ref="B118:D119"/>
    <mergeCell ref="B60:D60"/>
    <mergeCell ref="F122:F123"/>
    <mergeCell ref="B120:D121"/>
    <mergeCell ref="B122:D123"/>
    <mergeCell ref="B73:C73"/>
    <mergeCell ref="E122:E123"/>
    <mergeCell ref="B116:D116"/>
    <mergeCell ref="B2:J2"/>
    <mergeCell ref="C4:D4"/>
    <mergeCell ref="E4:F4"/>
    <mergeCell ref="G4:J4"/>
    <mergeCell ref="H16:I16"/>
    <mergeCell ref="D24:E24"/>
    <mergeCell ref="G24:H24"/>
    <mergeCell ref="I24:J24"/>
    <mergeCell ref="B21:J21"/>
    <mergeCell ref="I6:J6"/>
    <mergeCell ref="G12:J12"/>
    <mergeCell ref="G10:J10"/>
    <mergeCell ref="B18:C18"/>
    <mergeCell ref="E10:F10"/>
    <mergeCell ref="I8:J8"/>
    <mergeCell ref="C10:D10"/>
    <mergeCell ref="E12:F12"/>
    <mergeCell ref="C8:D8"/>
    <mergeCell ref="B14:J14"/>
    <mergeCell ref="B143:D144"/>
    <mergeCell ref="B145:D146"/>
    <mergeCell ref="B128:D129"/>
    <mergeCell ref="B130:D131"/>
    <mergeCell ref="B132:D133"/>
    <mergeCell ref="B134:D135"/>
    <mergeCell ref="B126:D127"/>
    <mergeCell ref="E132:E133"/>
    <mergeCell ref="B124:D125"/>
    <mergeCell ref="C12:D12"/>
    <mergeCell ref="D18:F18"/>
    <mergeCell ref="F132:F133"/>
    <mergeCell ref="F126:F127"/>
    <mergeCell ref="B71:C71"/>
    <mergeCell ref="B26:C26"/>
    <mergeCell ref="B108:B111"/>
    <mergeCell ref="F128:F129"/>
    <mergeCell ref="E130:E131"/>
    <mergeCell ref="F130:F131"/>
    <mergeCell ref="E124:E125"/>
    <mergeCell ref="E128:E129"/>
    <mergeCell ref="B147:D148"/>
    <mergeCell ref="B136:D137"/>
    <mergeCell ref="E145:E146"/>
    <mergeCell ref="E126:E127"/>
    <mergeCell ref="F145:F146"/>
    <mergeCell ref="F124:F125"/>
    <mergeCell ref="E147:E148"/>
    <mergeCell ref="O31:O34"/>
    <mergeCell ref="E118:E119"/>
    <mergeCell ref="F118:F119"/>
    <mergeCell ref="F120:F121"/>
    <mergeCell ref="E120:E121"/>
    <mergeCell ref="F47:I47"/>
    <mergeCell ref="B138:D139"/>
    <mergeCell ref="F147:F148"/>
    <mergeCell ref="E134:E135"/>
    <mergeCell ref="F134:F135"/>
    <mergeCell ref="E136:E137"/>
    <mergeCell ref="F136:F137"/>
    <mergeCell ref="E143:E144"/>
    <mergeCell ref="F143:F144"/>
    <mergeCell ref="F138:F139"/>
    <mergeCell ref="E138:E139"/>
  </mergeCells>
  <conditionalFormatting sqref="B34 B32 D33:N33">
    <cfRule type="expression" priority="7" dxfId="33" stopIfTrue="1">
      <formula>+AND(B31&gt;=#REF!,B31&lt;=#REF!)</formula>
    </cfRule>
  </conditionalFormatting>
  <conditionalFormatting sqref="D34:N34">
    <cfRule type="expression" priority="8" dxfId="33" stopIfTrue="1">
      <formula>+AND(D32&gt;=#REF!,D32&lt;=#REF!)</formula>
    </cfRule>
  </conditionalFormatting>
  <conditionalFormatting sqref="C30:N30 C94:N94">
    <cfRule type="cellIs" priority="11" dxfId="46" operator="equal" stopIfTrue="1">
      <formula>$C$16</formula>
    </cfRule>
  </conditionalFormatting>
  <conditionalFormatting sqref="C12:D12">
    <cfRule type="cellIs" priority="13" dxfId="47" operator="equal" stopIfTrue="1">
      <formula>"C"</formula>
    </cfRule>
    <cfRule type="cellIs" priority="14" dxfId="48" operator="equal" stopIfTrue="1">
      <formula>"B2"</formula>
    </cfRule>
    <cfRule type="cellIs" priority="15" dxfId="49" operator="equal" stopIfTrue="1">
      <formula>"B1"</formula>
    </cfRule>
  </conditionalFormatting>
  <conditionalFormatting sqref="H116:S117 H142:S142">
    <cfRule type="cellIs" priority="22" dxfId="50" operator="equal" stopIfTrue="1">
      <formula>$C$16</formula>
    </cfRule>
  </conditionalFormatting>
  <conditionalFormatting sqref="F47:I47">
    <cfRule type="expression" priority="23" dxfId="6" stopIfTrue="1">
      <formula>LEFT($F$47,2)="OK"</formula>
    </cfRule>
  </conditionalFormatting>
  <conditionalFormatting sqref="M31">
    <cfRule type="expression" priority="6" dxfId="33" stopIfTrue="1">
      <formula>+AND(M30&gt;=#REF!,M30&lt;=#REF!)</formula>
    </cfRule>
  </conditionalFormatting>
  <conditionalFormatting sqref="E32:I32">
    <cfRule type="expression" priority="5" dxfId="33" stopIfTrue="1">
      <formula>+AND(E31&gt;=#REF!,E31&lt;=#REF!)</formula>
    </cfRule>
  </conditionalFormatting>
  <conditionalFormatting sqref="C33">
    <cfRule type="expression" priority="2" dxfId="33" stopIfTrue="1">
      <formula>+AND(C32&gt;=#REF!,C32&lt;=#REF!)</formula>
    </cfRule>
  </conditionalFormatting>
  <conditionalFormatting sqref="C34">
    <cfRule type="expression" priority="3" dxfId="33" stopIfTrue="1">
      <formula>+AND(C32&gt;=#REF!,C32&lt;=#REF!)</formula>
    </cfRule>
  </conditionalFormatting>
  <conditionalFormatting sqref="C31:C32">
    <cfRule type="expression" priority="1" dxfId="33" stopIfTrue="1">
      <formula>+AND(C30&gt;=#REF!,C30&lt;=#REF!)</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4"/>
  <headerFooter>
    <oddFooter>&amp;L&amp;F&amp;C&amp;A&amp;RV1.0          &amp;D</oddFooter>
  </headerFooter>
  <rowBreaks count="1" manualBreakCount="1">
    <brk id="48" max="255" man="1"/>
  </rowBreaks>
  <ignoredErrors>
    <ignoredError sqref="H142:S142 E143"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indexed="51"/>
  </sheetPr>
  <dimension ref="A1:X18"/>
  <sheetViews>
    <sheetView showGridLines="0" zoomScale="110" zoomScaleNormal="110" zoomScaleSheetLayoutView="100" zoomScalePageLayoutView="0" workbookViewId="0" topLeftCell="A4">
      <selection activeCell="C17" sqref="C17"/>
    </sheetView>
  </sheetViews>
  <sheetFormatPr defaultColWidth="11.421875" defaultRowHeight="15"/>
  <cols>
    <col min="1" max="1" width="21.140625" style="3" customWidth="1"/>
    <col min="2" max="2" width="12.57421875" style="3" customWidth="1"/>
    <col min="3" max="3" width="20.57421875" style="3" customWidth="1"/>
    <col min="4" max="4" width="15.28125" style="3" customWidth="1"/>
    <col min="5" max="5" width="11.7109375" style="3" customWidth="1"/>
    <col min="6" max="6" width="10.7109375" style="3" customWidth="1"/>
    <col min="7" max="7" width="11.7109375" style="3" customWidth="1"/>
    <col min="8" max="8" width="15.00390625" style="3" customWidth="1"/>
    <col min="9" max="9" width="9.421875" style="3" customWidth="1"/>
    <col min="10" max="10" width="13.00390625" style="3" customWidth="1"/>
    <col min="11" max="11" width="11.421875" style="3" customWidth="1"/>
    <col min="12" max="12" width="8.140625" style="3" customWidth="1"/>
    <col min="13" max="13" width="9.7109375" style="3" customWidth="1"/>
    <col min="14" max="14" width="8.57421875" style="3" customWidth="1"/>
    <col min="15" max="15" width="7.140625" style="3" customWidth="1"/>
    <col min="16" max="16384" width="11.421875" style="3" customWidth="1"/>
  </cols>
  <sheetData>
    <row r="1" spans="1:10" ht="21" customHeight="1">
      <c r="A1" s="2"/>
      <c r="B1" s="2"/>
      <c r="C1" s="2"/>
      <c r="D1" s="2"/>
      <c r="E1" s="2"/>
      <c r="F1" s="2"/>
      <c r="G1" s="277"/>
      <c r="H1" s="2"/>
      <c r="I1" s="2"/>
      <c r="J1" s="2"/>
    </row>
    <row r="2" ht="25.5" customHeight="1"/>
    <row r="3" spans="2:20" ht="36">
      <c r="B3" s="707" t="str">
        <f>+"Dashboard: "&amp;" "&amp;+IF('Data Entry'!C4="Please Select","",'Data Entry'!C4&amp;" - ")&amp;+IF('Data Entry'!G6="Please Select","",'Data Entry'!G6)</f>
        <v>Dashboard:  Ghana - TB</v>
      </c>
      <c r="C3" s="707"/>
      <c r="D3" s="707"/>
      <c r="E3" s="707"/>
      <c r="F3" s="707"/>
      <c r="G3" s="707"/>
      <c r="H3" s="707"/>
      <c r="I3" s="707"/>
      <c r="J3" s="707"/>
      <c r="K3" s="4"/>
      <c r="L3" s="4"/>
      <c r="M3" s="4"/>
      <c r="N3" s="5"/>
      <c r="O3" s="5"/>
      <c r="P3" s="5"/>
      <c r="Q3" s="5"/>
      <c r="R3" s="5"/>
      <c r="S3" s="5"/>
      <c r="T3" s="5"/>
    </row>
    <row r="4" spans="12:20" ht="15" customHeight="1">
      <c r="L4" s="5"/>
      <c r="M4" s="5"/>
      <c r="N4" s="5"/>
      <c r="O4" s="5"/>
      <c r="P4" s="5"/>
      <c r="Q4" s="5"/>
      <c r="R4" s="5"/>
      <c r="S4" s="5"/>
      <c r="T4" s="5"/>
    </row>
    <row r="5" spans="12:20" ht="15">
      <c r="L5" s="5"/>
      <c r="M5" s="5"/>
      <c r="N5" s="5"/>
      <c r="O5" s="5"/>
      <c r="P5" s="5"/>
      <c r="Q5" s="5"/>
      <c r="R5" s="5"/>
      <c r="S5" s="5"/>
      <c r="T5" s="5"/>
    </row>
    <row r="6" spans="1:21" ht="32.25" customHeight="1">
      <c r="A6" s="270" t="s">
        <v>26</v>
      </c>
      <c r="B6" s="708" t="str">
        <f>+IF('Data Entry'!C4="Please Select","",'Data Entry'!C4)</f>
        <v>Ghana</v>
      </c>
      <c r="C6" s="708"/>
      <c r="D6" s="711" t="s">
        <v>12</v>
      </c>
      <c r="E6" s="711"/>
      <c r="F6" s="712" t="str">
        <f>+'Data Entry'!G4</f>
        <v>Accelerating access to prevention and treatment of TB towards attaining the MDGs</v>
      </c>
      <c r="G6" s="712"/>
      <c r="H6" s="712"/>
      <c r="I6" s="712"/>
      <c r="J6" s="712"/>
      <c r="K6" s="50"/>
      <c r="L6" s="82"/>
      <c r="M6" s="50"/>
      <c r="N6" s="50"/>
      <c r="O6" s="50"/>
      <c r="P6" s="51"/>
      <c r="Q6" s="17"/>
      <c r="R6" s="17"/>
      <c r="S6" s="17"/>
      <c r="T6" s="17"/>
      <c r="U6" s="17"/>
    </row>
    <row r="7" spans="2:21" ht="8.25" customHeight="1">
      <c r="B7" s="6"/>
      <c r="C7" s="7"/>
      <c r="D7" s="7"/>
      <c r="E7" s="8"/>
      <c r="F7" s="8"/>
      <c r="G7" s="9"/>
      <c r="H7" s="9"/>
      <c r="K7" s="50"/>
      <c r="L7" s="50"/>
      <c r="M7" s="50"/>
      <c r="N7" s="50"/>
      <c r="O7" s="50"/>
      <c r="P7" s="51"/>
      <c r="Q7" s="17"/>
      <c r="R7" s="17"/>
      <c r="S7" s="17"/>
      <c r="T7" s="17"/>
      <c r="U7" s="17"/>
    </row>
    <row r="8" spans="3:21" ht="3.75" customHeight="1">
      <c r="C8" s="10"/>
      <c r="D8" s="10"/>
      <c r="E8" s="10"/>
      <c r="F8" s="10"/>
      <c r="G8" s="10"/>
      <c r="H8" s="10"/>
      <c r="I8" s="10"/>
      <c r="J8" s="10"/>
      <c r="K8" s="50"/>
      <c r="L8" s="50"/>
      <c r="M8" s="50"/>
      <c r="N8" s="50"/>
      <c r="O8" s="52"/>
      <c r="P8" s="51"/>
      <c r="Q8" s="52"/>
      <c r="R8" s="53"/>
      <c r="S8" s="17"/>
      <c r="T8" s="17"/>
      <c r="U8" s="17"/>
    </row>
    <row r="9" spans="1:24" ht="25.5" customHeight="1">
      <c r="A9" s="392" t="s">
        <v>27</v>
      </c>
      <c r="B9" s="352" t="str">
        <f>+IF('Data Entry'!G6="Please Select","",'Data Entry'!G6)</f>
        <v>TB</v>
      </c>
      <c r="C9" s="228" t="s">
        <v>328</v>
      </c>
      <c r="D9" s="353" t="str">
        <f>+'Data Entry'!C6</f>
        <v>GHA-T-MOH</v>
      </c>
      <c r="E9" s="710" t="s">
        <v>13</v>
      </c>
      <c r="F9" s="710"/>
      <c r="G9" s="354">
        <f>+IF(ISBLANK('Data Entry'!C10),"",'Data Entry'!C10)</f>
        <v>42186</v>
      </c>
      <c r="H9" s="392" t="s">
        <v>329</v>
      </c>
      <c r="I9" s="709">
        <f>+IF(ISBLANK('Data Entry'!I6),"",'Data Entry'!I6)</f>
        <v>24902844</v>
      </c>
      <c r="J9" s="709"/>
      <c r="K9" s="50"/>
      <c r="L9" s="50"/>
      <c r="M9" s="50"/>
      <c r="N9" s="50"/>
      <c r="O9" s="52"/>
      <c r="P9" s="51"/>
      <c r="Q9" s="52"/>
      <c r="R9" s="53"/>
      <c r="S9" s="17"/>
      <c r="T9" s="11"/>
      <c r="U9" s="11"/>
      <c r="V9" s="10"/>
      <c r="W9" s="10"/>
      <c r="X9" s="10"/>
    </row>
    <row r="10" spans="1:21" ht="25.5" customHeight="1">
      <c r="A10" s="392" t="s">
        <v>323</v>
      </c>
      <c r="B10" s="355">
        <f>+IF('Data Entry'!G8="Please Select","",'Data Entry'!G8)</f>
        <v>0</v>
      </c>
      <c r="C10" s="228" t="s">
        <v>322</v>
      </c>
      <c r="D10" s="356">
        <f>+IF('Data Entry'!I8="Please Select","",'Data Entry'!I8)</f>
        <v>0</v>
      </c>
      <c r="E10" s="703" t="s">
        <v>268</v>
      </c>
      <c r="F10" s="703"/>
      <c r="G10" s="702" t="str">
        <f>+'Data Entry'!C8</f>
        <v>Ministry of Health / Ghana Health Services</v>
      </c>
      <c r="H10" s="702"/>
      <c r="I10" s="702"/>
      <c r="J10" s="702"/>
      <c r="K10" s="54"/>
      <c r="L10" s="54"/>
      <c r="M10" s="50"/>
      <c r="N10" s="54"/>
      <c r="O10" s="52"/>
      <c r="P10" s="51"/>
      <c r="Q10" s="11"/>
      <c r="R10" s="53"/>
      <c r="S10" s="17"/>
      <c r="T10" s="11"/>
      <c r="U10" s="11"/>
    </row>
    <row r="11" spans="1:21" ht="25.5" customHeight="1">
      <c r="A11" s="392" t="s">
        <v>21</v>
      </c>
      <c r="B11" s="357" t="str">
        <f>+'Data Entry'!C16</f>
        <v>P2</v>
      </c>
      <c r="C11" s="338" t="s">
        <v>266</v>
      </c>
      <c r="D11" s="358">
        <f>+IF(ISBLANK('Data Entry'!E16),"",'Data Entry'!E16)</f>
        <v>42278</v>
      </c>
      <c r="E11" s="710" t="s">
        <v>22</v>
      </c>
      <c r="F11" s="710"/>
      <c r="G11" s="358">
        <f>+IF(ISBLANK('Data Entry'!G16),"",'Data Entry'!G16)</f>
        <v>42369</v>
      </c>
      <c r="H11" s="392" t="s">
        <v>29</v>
      </c>
      <c r="I11" s="704">
        <f>+IF('Data Entry'!C12="Please Select","",'Data Entry'!C12)</f>
        <v>0</v>
      </c>
      <c r="J11" s="704"/>
      <c r="K11" s="276"/>
      <c r="L11" s="54"/>
      <c r="M11" s="50"/>
      <c r="N11" s="54"/>
      <c r="O11" s="54"/>
      <c r="P11" s="51"/>
      <c r="Q11" s="11"/>
      <c r="R11" s="53"/>
      <c r="S11" s="17"/>
      <c r="T11" s="12"/>
      <c r="U11" s="11"/>
    </row>
    <row r="12" spans="1:24" ht="25.5" customHeight="1">
      <c r="A12" s="392" t="s">
        <v>31</v>
      </c>
      <c r="B12" s="702" t="str">
        <f>+IF('Data Entry'!G10="Please Select","",'Data Entry'!G10)</f>
        <v>PwC (PricewaterhouseCoopers)</v>
      </c>
      <c r="C12" s="702"/>
      <c r="D12" s="702"/>
      <c r="E12" s="703" t="s">
        <v>289</v>
      </c>
      <c r="F12" s="703"/>
      <c r="G12" s="702" t="str">
        <f>+'Data Entry'!G12</f>
        <v>Mark Saafeld</v>
      </c>
      <c r="H12" s="702"/>
      <c r="I12" s="702"/>
      <c r="J12" s="702"/>
      <c r="K12" s="54"/>
      <c r="L12" s="54"/>
      <c r="M12" s="50"/>
      <c r="N12" s="54"/>
      <c r="O12" s="17"/>
      <c r="P12" s="51"/>
      <c r="Q12" s="11"/>
      <c r="R12" s="53"/>
      <c r="S12" s="17"/>
      <c r="T12" s="11"/>
      <c r="U12" s="55"/>
      <c r="V12" s="11"/>
      <c r="W12" s="12"/>
      <c r="X12" s="11"/>
    </row>
    <row r="13" spans="1:21" ht="25.5" customHeight="1">
      <c r="A13" s="392" t="s">
        <v>32</v>
      </c>
      <c r="B13" s="702" t="str">
        <f>+'Data Entry'!D18</f>
        <v>Kwami Afutu/Kulevome</v>
      </c>
      <c r="C13" s="702"/>
      <c r="D13" s="702"/>
      <c r="E13" s="703" t="s">
        <v>30</v>
      </c>
      <c r="F13" s="703"/>
      <c r="G13" s="705">
        <f>+IF(ISBLANK('Data Entry'!J16),"",'Data Entry'!J16)</f>
        <v>42415</v>
      </c>
      <c r="H13" s="706"/>
      <c r="I13" s="706"/>
      <c r="J13" s="706"/>
      <c r="K13" s="17"/>
      <c r="L13" s="18"/>
      <c r="M13" s="18"/>
      <c r="N13" s="18"/>
      <c r="O13" s="17"/>
      <c r="P13" s="18"/>
      <c r="Q13" s="18"/>
      <c r="R13" s="53"/>
      <c r="S13" s="17"/>
      <c r="T13" s="18"/>
      <c r="U13" s="56"/>
    </row>
    <row r="14" spans="1:21" ht="15">
      <c r="A14" s="14"/>
      <c r="B14" s="14"/>
      <c r="C14" s="16"/>
      <c r="D14" s="16"/>
      <c r="E14" s="16"/>
      <c r="F14" s="16"/>
      <c r="L14" s="13"/>
      <c r="M14" s="13"/>
      <c r="N14" s="13"/>
      <c r="O14" s="13"/>
      <c r="P14" s="13"/>
      <c r="Q14" s="13"/>
      <c r="R14" s="13"/>
      <c r="S14" s="13"/>
      <c r="T14" s="13"/>
      <c r="U14" s="13"/>
    </row>
    <row r="15" spans="1:21" ht="15">
      <c r="A15" s="16"/>
      <c r="B15" s="16"/>
      <c r="C15" s="16"/>
      <c r="D15" s="16"/>
      <c r="E15" s="16"/>
      <c r="F15" s="16"/>
      <c r="L15" s="13"/>
      <c r="M15" s="13"/>
      <c r="N15" s="13"/>
      <c r="O15" s="13"/>
      <c r="P15" s="13"/>
      <c r="Q15" s="13"/>
      <c r="R15" s="13"/>
      <c r="S15" s="13"/>
      <c r="T15" s="13"/>
      <c r="U15" s="13"/>
    </row>
    <row r="16" spans="1:21" ht="15">
      <c r="A16" s="16"/>
      <c r="B16" s="16"/>
      <c r="C16" s="237"/>
      <c r="D16" s="16"/>
      <c r="E16" s="393"/>
      <c r="F16" s="15"/>
      <c r="L16" s="13"/>
      <c r="M16" s="13"/>
      <c r="N16" s="13"/>
      <c r="O16" s="13"/>
      <c r="P16" s="13"/>
      <c r="Q16" s="13"/>
      <c r="R16" s="13"/>
      <c r="S16" s="13"/>
      <c r="T16" s="13"/>
      <c r="U16" s="13"/>
    </row>
    <row r="17" spans="1:6" ht="15">
      <c r="A17" s="16"/>
      <c r="B17" s="16"/>
      <c r="C17" s="16"/>
      <c r="D17" s="16"/>
      <c r="E17" s="16"/>
      <c r="F17" s="15"/>
    </row>
    <row r="18" spans="1:6" ht="15">
      <c r="A18" s="15"/>
      <c r="B18" s="15"/>
      <c r="C18" s="15"/>
      <c r="D18" s="15"/>
      <c r="E18" s="15"/>
      <c r="F18" s="15"/>
    </row>
  </sheetData>
  <sheetProtection password="CFC9" sheet="1"/>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conditionalFormatting sqref="I11:J11">
    <cfRule type="cellIs" priority="1" dxfId="51" operator="equal" stopIfTrue="1">
      <formula>"C"</formula>
    </cfRule>
    <cfRule type="cellIs" priority="2" dxfId="48" operator="equal" stopIfTrue="1">
      <formula>"B2"</formula>
    </cfRule>
    <cfRule type="cellIs" priority="3" dxfId="49" operator="equal" stopIfTrue="1">
      <formula>"B1"</formula>
    </cfRule>
  </conditionalFormatting>
  <dataValidations count="1">
    <dataValidation type="list" allowBlank="1" showInputMessage="1" showErrorMessage="1" sqref="G7">
      <formula1>$K$8:$K$9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2" r:id="rId2"/>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sheetPr>
    <tabColor indexed="41"/>
  </sheetPr>
  <dimension ref="A1:O34"/>
  <sheetViews>
    <sheetView showGridLines="0" zoomScalePageLayoutView="0" workbookViewId="0" topLeftCell="A17">
      <selection activeCell="H33" sqref="H33"/>
    </sheetView>
  </sheetViews>
  <sheetFormatPr defaultColWidth="11.00390625" defaultRowHeight="15"/>
  <cols>
    <col min="1" max="1" width="3.57421875" style="0" customWidth="1"/>
    <col min="2" max="2" width="11.28125" style="0" customWidth="1"/>
    <col min="3" max="3" width="5.140625" style="0" customWidth="1"/>
    <col min="4" max="4" width="12.421875" style="0" customWidth="1"/>
    <col min="5" max="5" width="11.421875" style="0" customWidth="1"/>
    <col min="6" max="6" width="14.28125" style="0" customWidth="1"/>
    <col min="7" max="7" width="3.8515625" style="0" customWidth="1"/>
    <col min="8" max="8" width="10.421875" style="0" customWidth="1"/>
    <col min="9" max="9" width="14.7109375" style="0" customWidth="1"/>
    <col min="10" max="10" width="12.00390625" style="0" customWidth="1"/>
    <col min="11" max="11" width="11.7109375" style="0" customWidth="1"/>
  </cols>
  <sheetData>
    <row r="1" spans="2:11" ht="30.75" customHeight="1">
      <c r="B1" s="3"/>
      <c r="C1" s="3"/>
      <c r="D1" s="3"/>
      <c r="E1" s="3"/>
      <c r="F1" s="3"/>
      <c r="G1" s="3"/>
      <c r="H1" s="3"/>
      <c r="I1" s="3"/>
      <c r="J1" s="3"/>
      <c r="K1" s="3"/>
    </row>
    <row r="2" spans="2:15" ht="27.75" customHeight="1">
      <c r="B2" s="663" t="str">
        <f>+"Dashboard:  "&amp;"  "&amp;IF(+'Data Entry'!C4="Please Select","",'Data Entry'!C4&amp;" - ")&amp;IF('Data Entry'!G6="Please Select","",'Data Entry'!G6)</f>
        <v>Dashboard:    Ghana - TB</v>
      </c>
      <c r="C2" s="663"/>
      <c r="D2" s="663"/>
      <c r="E2" s="663"/>
      <c r="F2" s="663"/>
      <c r="G2" s="663"/>
      <c r="H2" s="663"/>
      <c r="I2" s="663"/>
      <c r="J2" s="663"/>
      <c r="K2" s="663"/>
      <c r="L2" s="1"/>
      <c r="M2" s="1"/>
      <c r="N2" s="1"/>
      <c r="O2" s="1"/>
    </row>
    <row r="3" spans="2:12" ht="15">
      <c r="B3" s="135">
        <f>+IF('Data Entry'!G8="Please Select","",'Data Entry'!G8)</f>
        <v>0</v>
      </c>
      <c r="C3" s="721">
        <f>+IF('Data Entry'!I8="Please Select","",'Data Entry'!I8)</f>
        <v>0</v>
      </c>
      <c r="D3" s="721"/>
      <c r="E3" s="720"/>
      <c r="F3" s="720"/>
      <c r="G3" s="720"/>
      <c r="H3" s="720"/>
      <c r="I3" s="718" t="str">
        <f>+'Data Entry'!B16</f>
        <v>Report Period:</v>
      </c>
      <c r="J3" s="718"/>
      <c r="K3" s="201" t="str">
        <f>+'Data Entry'!C16</f>
        <v>P2</v>
      </c>
      <c r="L3" s="83"/>
    </row>
    <row r="4" spans="2:11" ht="15">
      <c r="B4" s="135" t="str">
        <f>+'Data Entry'!B12</f>
        <v>Latest Rating:</v>
      </c>
      <c r="C4" s="722">
        <f>+IF('Data Entry'!C12="Please Select","",'Data Entry'!C12)</f>
        <v>0</v>
      </c>
      <c r="D4" s="722"/>
      <c r="E4" s="720" t="str">
        <f>+'Data Entry'!C8</f>
        <v>Ministry of Health / Ghana Health Services</v>
      </c>
      <c r="F4" s="720"/>
      <c r="G4" s="720"/>
      <c r="H4" s="720"/>
      <c r="I4" s="718" t="str">
        <f>+'Data Entry'!D16</f>
        <v>From:</v>
      </c>
      <c r="J4" s="719"/>
      <c r="K4" s="203">
        <f>+IF(ISBLANK('Data Entry'!E16),"",'Data Entry'!E16)</f>
        <v>42278</v>
      </c>
    </row>
    <row r="5" spans="2:11" ht="18.75" customHeight="1">
      <c r="B5" s="135"/>
      <c r="C5" s="135"/>
      <c r="D5" s="717" t="str">
        <f>+'Data Entry'!G4</f>
        <v>Accelerating access to prevention and treatment of TB towards attaining the MDGs</v>
      </c>
      <c r="E5" s="717"/>
      <c r="F5" s="717"/>
      <c r="G5" s="717"/>
      <c r="H5" s="717"/>
      <c r="I5" s="717"/>
      <c r="J5" s="135" t="str">
        <f>+'Data Entry'!F16</f>
        <v>To:</v>
      </c>
      <c r="K5" s="203">
        <f>+IF(ISBLANK('Data Entry'!G16),"",'Data Entry'!G16)</f>
        <v>42369</v>
      </c>
    </row>
    <row r="6" spans="2:11" ht="18.75">
      <c r="B6" s="139"/>
      <c r="C6" s="135"/>
      <c r="D6" s="136"/>
      <c r="E6" s="723" t="s">
        <v>63</v>
      </c>
      <c r="F6" s="723"/>
      <c r="G6" s="723"/>
      <c r="H6" s="723"/>
      <c r="I6" s="3"/>
      <c r="J6" s="3"/>
      <c r="K6" s="3"/>
    </row>
    <row r="7" spans="2:11" ht="10.5" customHeight="1">
      <c r="B7" s="140"/>
      <c r="C7" s="141"/>
      <c r="D7" s="142"/>
      <c r="E7" s="143"/>
      <c r="F7" s="143"/>
      <c r="G7" s="144"/>
      <c r="H7" s="144"/>
      <c r="I7" s="138"/>
      <c r="J7" s="138"/>
      <c r="K7" s="137"/>
    </row>
    <row r="8" spans="2:11" ht="15">
      <c r="B8" s="206" t="str">
        <f>+'Data Entry'!B27&amp;" - in ("&amp;'Data Entry'!D26&amp;")         "&amp;+I3&amp;" "&amp;+K3</f>
        <v>F1: Budget and disbursements by Global Fund - in ($)         Report Period: P2</v>
      </c>
      <c r="C8" s="145"/>
      <c r="D8" s="2"/>
      <c r="E8" s="2"/>
      <c r="F8" s="2"/>
      <c r="H8" s="206" t="str">
        <f>+'Data Entry'!B49&amp;" - in ("&amp;'Data Entry'!D26&amp;")         "&amp;+I3&amp;" "&amp;+K3</f>
        <v>F3: Disbursements and expenditures - in ($)         Report Period: P2</v>
      </c>
      <c r="I8" s="3"/>
      <c r="J8" s="3"/>
      <c r="K8" s="3"/>
    </row>
    <row r="9" spans="2:11" ht="15">
      <c r="B9" s="362" t="s">
        <v>9</v>
      </c>
      <c r="C9" s="729"/>
      <c r="D9" s="730"/>
      <c r="E9" s="730"/>
      <c r="F9" s="731"/>
      <c r="H9" s="363" t="s">
        <v>9</v>
      </c>
      <c r="I9" s="732"/>
      <c r="J9" s="730"/>
      <c r="K9" s="731"/>
    </row>
    <row r="10" spans="2:11" ht="15">
      <c r="B10" s="2"/>
      <c r="C10" s="2"/>
      <c r="D10" s="2"/>
      <c r="E10" s="2"/>
      <c r="F10" s="2"/>
      <c r="G10" s="3"/>
      <c r="H10" s="3"/>
      <c r="I10" s="3"/>
      <c r="J10" s="3"/>
      <c r="K10" s="3"/>
    </row>
    <row r="11" spans="2:11" ht="15">
      <c r="B11" s="2"/>
      <c r="C11" s="2"/>
      <c r="D11" s="2"/>
      <c r="E11" s="2"/>
      <c r="F11" s="2"/>
      <c r="G11" s="3"/>
      <c r="H11" s="3"/>
      <c r="I11" s="3"/>
      <c r="J11" s="3"/>
      <c r="K11" s="3"/>
    </row>
    <row r="12" spans="2:11" ht="15">
      <c r="B12" s="2"/>
      <c r="C12" s="2"/>
      <c r="D12" s="2"/>
      <c r="E12" s="2"/>
      <c r="F12" s="2"/>
      <c r="G12" s="3"/>
      <c r="H12" s="3"/>
      <c r="I12" s="3"/>
      <c r="J12" s="3"/>
      <c r="K12" s="3"/>
    </row>
    <row r="13" spans="2:11" ht="15">
      <c r="B13" s="2"/>
      <c r="C13" s="2"/>
      <c r="D13" s="2"/>
      <c r="E13" s="2"/>
      <c r="F13" s="2"/>
      <c r="G13" s="3"/>
      <c r="H13" s="3"/>
      <c r="I13" s="3"/>
      <c r="J13" s="3"/>
      <c r="K13" s="3"/>
    </row>
    <row r="14" spans="2:11" ht="15">
      <c r="B14" s="2"/>
      <c r="C14" s="2"/>
      <c r="D14" s="2"/>
      <c r="E14" s="2"/>
      <c r="F14" s="2"/>
      <c r="G14" s="3"/>
      <c r="H14" s="3"/>
      <c r="I14" s="3"/>
      <c r="J14" s="3"/>
      <c r="K14" s="3"/>
    </row>
    <row r="15" spans="2:11" ht="15">
      <c r="B15" s="2"/>
      <c r="C15" s="2"/>
      <c r="D15" s="2"/>
      <c r="E15" s="2"/>
      <c r="F15" s="2"/>
      <c r="G15" s="3"/>
      <c r="H15" s="3"/>
      <c r="I15" s="3"/>
      <c r="J15" s="3"/>
      <c r="K15" s="3"/>
    </row>
    <row r="16" spans="2:11" ht="15">
      <c r="B16" s="2"/>
      <c r="C16" s="2"/>
      <c r="D16" s="2"/>
      <c r="E16" s="2"/>
      <c r="F16" s="2"/>
      <c r="G16" s="3"/>
      <c r="H16" s="3"/>
      <c r="I16" s="3"/>
      <c r="J16" s="3"/>
      <c r="K16" s="3"/>
    </row>
    <row r="17" spans="2:11" ht="15">
      <c r="B17" s="2"/>
      <c r="C17" s="2"/>
      <c r="D17" s="2"/>
      <c r="E17" s="2"/>
      <c r="F17" s="2"/>
      <c r="G17" s="3"/>
      <c r="H17" s="3"/>
      <c r="I17" s="3"/>
      <c r="J17" s="3"/>
      <c r="K17" s="3"/>
    </row>
    <row r="18" spans="2:11" ht="15">
      <c r="B18" s="2"/>
      <c r="C18" s="2"/>
      <c r="D18" s="2"/>
      <c r="E18" s="2"/>
      <c r="F18" s="2"/>
      <c r="G18" s="3"/>
      <c r="H18" s="3"/>
      <c r="I18" s="3"/>
      <c r="J18" s="3"/>
      <c r="K18" s="3"/>
    </row>
    <row r="19" spans="2:11" ht="15">
      <c r="B19" s="2"/>
      <c r="C19" s="2"/>
      <c r="D19" s="2"/>
      <c r="E19" s="2"/>
      <c r="F19" s="2"/>
      <c r="G19" s="3"/>
      <c r="H19" s="3"/>
      <c r="I19" s="3"/>
      <c r="J19" s="3"/>
      <c r="K19" s="3"/>
    </row>
    <row r="20" spans="2:11" ht="15">
      <c r="B20" s="2"/>
      <c r="C20" s="2"/>
      <c r="D20" s="2"/>
      <c r="E20" s="2"/>
      <c r="F20" s="2"/>
      <c r="G20" s="3"/>
      <c r="H20" s="3"/>
      <c r="I20" s="3"/>
      <c r="J20" s="3"/>
      <c r="K20" s="3"/>
    </row>
    <row r="21" spans="1:11" ht="15">
      <c r="A21" s="19"/>
      <c r="B21" s="19"/>
      <c r="C21" s="19"/>
      <c r="D21" s="19"/>
      <c r="E21" s="19"/>
      <c r="F21" s="19"/>
      <c r="G21" s="19"/>
      <c r="H21" s="19"/>
      <c r="I21" s="19"/>
      <c r="J21" s="19"/>
      <c r="K21" s="19"/>
    </row>
    <row r="22" spans="2:11" ht="17.25" customHeight="1">
      <c r="B22" s="207" t="str">
        <f>+'Data Entry'!B36&amp;" - in ("&amp;'Data Entry'!D26&amp;")  "&amp;+I3&amp;" "&amp;+K3</f>
        <v>F2: Budget and actual expenditures by Grant Objective - in ($)  Report Period: P2</v>
      </c>
      <c r="C22" s="2"/>
      <c r="D22" s="2"/>
      <c r="E22" s="2"/>
      <c r="F22" s="2"/>
      <c r="H22" s="207" t="str">
        <f>+'Data Entry'!B58&amp;"      "&amp;+I3&amp;" "&amp;+K3</f>
        <v>F4: Latest PR reporting and disbursement cycle      Report Period: P2</v>
      </c>
      <c r="J22" s="3"/>
      <c r="K22" s="3"/>
    </row>
    <row r="23" spans="2:11" ht="15">
      <c r="B23" s="363" t="s">
        <v>10</v>
      </c>
      <c r="C23" s="732"/>
      <c r="D23" s="730"/>
      <c r="E23" s="730"/>
      <c r="F23" s="731"/>
      <c r="G23" s="389"/>
      <c r="H23" s="363" t="s">
        <v>9</v>
      </c>
      <c r="I23" s="732"/>
      <c r="J23" s="733"/>
      <c r="K23" s="734"/>
    </row>
    <row r="24" spans="2:11" ht="15.75" thickBot="1">
      <c r="B24" s="216"/>
      <c r="C24" s="216"/>
      <c r="D24" s="216"/>
      <c r="E24" s="216"/>
      <c r="F24" s="216"/>
      <c r="G24" s="216"/>
      <c r="H24" s="217"/>
      <c r="I24" s="217"/>
      <c r="J24" s="216"/>
      <c r="K24" s="216"/>
    </row>
    <row r="25" spans="2:11" ht="29.25" customHeight="1" thickBot="1">
      <c r="B25" s="3"/>
      <c r="C25" s="3"/>
      <c r="D25" s="3"/>
      <c r="E25" s="3"/>
      <c r="F25" s="3"/>
      <c r="G25" s="336"/>
      <c r="H25" s="724" t="s">
        <v>308</v>
      </c>
      <c r="I25" s="725"/>
      <c r="J25" s="725"/>
      <c r="K25" s="726"/>
    </row>
    <row r="26" spans="2:11" ht="24">
      <c r="B26" s="3"/>
      <c r="C26" s="3"/>
      <c r="D26" s="3"/>
      <c r="E26" s="3"/>
      <c r="F26" s="3"/>
      <c r="G26" s="295"/>
      <c r="H26" s="727"/>
      <c r="I26" s="728"/>
      <c r="J26" s="312" t="s">
        <v>61</v>
      </c>
      <c r="K26" s="313" t="s">
        <v>62</v>
      </c>
    </row>
    <row r="27" spans="2:11" ht="23.25" customHeight="1">
      <c r="B27" s="3"/>
      <c r="C27" s="3"/>
      <c r="D27" s="3"/>
      <c r="E27" s="3"/>
      <c r="F27" s="3"/>
      <c r="G27" s="337"/>
      <c r="H27" s="713" t="str">
        <f>'Data Entry'!B62</f>
        <v>Days taken to submit final PU/DR to LFA</v>
      </c>
      <c r="I27" s="714"/>
      <c r="J27" s="314" t="str">
        <f>+'Data Entry'!C62</f>
        <v>NA</v>
      </c>
      <c r="K27" s="311" t="str">
        <f>+'Data Entry'!D62</f>
        <v>NA</v>
      </c>
    </row>
    <row r="28" spans="2:11" ht="21" customHeight="1">
      <c r="B28" s="3"/>
      <c r="C28" s="3"/>
      <c r="D28" s="3"/>
      <c r="E28" s="3"/>
      <c r="F28" s="3"/>
      <c r="G28" s="337"/>
      <c r="H28" s="713" t="str">
        <f>'Data Entry'!B63</f>
        <v>Days taken for disbursement to reach PR</v>
      </c>
      <c r="I28" s="714"/>
      <c r="J28" s="314" t="str">
        <f>+'Data Entry'!C63</f>
        <v>NA</v>
      </c>
      <c r="K28" s="311" t="str">
        <f>+'Data Entry'!D63</f>
        <v>NA</v>
      </c>
    </row>
    <row r="29" spans="2:11" ht="21" customHeight="1" thickBot="1">
      <c r="B29" s="3"/>
      <c r="C29" s="3"/>
      <c r="D29" s="3"/>
      <c r="E29" s="3"/>
      <c r="F29" s="3"/>
      <c r="G29" s="337"/>
      <c r="H29" s="715" t="str">
        <f>'Data Entry'!B64</f>
        <v>Days taken for disbursement to reach SRs </v>
      </c>
      <c r="I29" s="716"/>
      <c r="J29" s="315" t="str">
        <f>+'Data Entry'!C64</f>
        <v>NA</v>
      </c>
      <c r="K29" s="316" t="str">
        <f>+'Data Entry'!D64</f>
        <v>NA</v>
      </c>
    </row>
    <row r="30" spans="2:11" ht="15">
      <c r="B30" s="3"/>
      <c r="C30" s="3"/>
      <c r="D30" s="3"/>
      <c r="E30" s="3"/>
      <c r="F30" s="3"/>
      <c r="G30" s="3"/>
      <c r="H30" s="3"/>
      <c r="I30" s="3"/>
      <c r="J30" s="3"/>
      <c r="K30" s="3"/>
    </row>
    <row r="31" spans="2:11" ht="15">
      <c r="B31" s="3"/>
      <c r="C31" s="15"/>
      <c r="D31" s="238"/>
      <c r="E31" s="3"/>
      <c r="F31" s="3"/>
      <c r="G31" s="3"/>
      <c r="H31" s="3"/>
      <c r="I31" s="3"/>
      <c r="J31" s="3"/>
      <c r="K31" s="3"/>
    </row>
    <row r="32" spans="2:11" ht="15">
      <c r="B32" s="3"/>
      <c r="C32" s="15"/>
      <c r="D32" s="238"/>
      <c r="E32" s="3"/>
      <c r="F32" s="3"/>
      <c r="G32" s="3"/>
      <c r="H32" s="3"/>
      <c r="I32" s="3"/>
      <c r="J32" s="3"/>
      <c r="K32" s="3"/>
    </row>
    <row r="34" ht="15">
      <c r="E34" s="19"/>
    </row>
  </sheetData>
  <sheetProtection password="CFC9" sheet="1"/>
  <mergeCells count="18">
    <mergeCell ref="E6:H6"/>
    <mergeCell ref="H25:K25"/>
    <mergeCell ref="H26:I26"/>
    <mergeCell ref="H27:I27"/>
    <mergeCell ref="C9:F9"/>
    <mergeCell ref="I23:K23"/>
    <mergeCell ref="C23:F23"/>
    <mergeCell ref="I9:K9"/>
    <mergeCell ref="H28:I28"/>
    <mergeCell ref="H29:I29"/>
    <mergeCell ref="B2:K2"/>
    <mergeCell ref="D5:I5"/>
    <mergeCell ref="I4:J4"/>
    <mergeCell ref="I3:J3"/>
    <mergeCell ref="E3:H3"/>
    <mergeCell ref="C3:D3"/>
    <mergeCell ref="C4:D4"/>
    <mergeCell ref="E4:H4"/>
  </mergeCells>
  <conditionalFormatting sqref="K27:K29">
    <cfRule type="cellIs" priority="4" dxfId="52" operator="greaterThan" stopIfTrue="1">
      <formula>J27</formula>
    </cfRule>
    <cfRule type="cellIs" priority="5" dxfId="53" operator="between" stopIfTrue="1">
      <formula>J27</formula>
      <formula>1</formula>
    </cfRule>
    <cfRule type="cellIs" priority="6" dxfId="27" operator="equal" stopIfTrue="1">
      <formula>0</formula>
    </cfRule>
  </conditionalFormatting>
  <conditionalFormatting sqref="C4:D4">
    <cfRule type="cellIs" priority="1" dxfId="51" operator="equal" stopIfTrue="1">
      <formula>"C"</formula>
    </cfRule>
    <cfRule type="cellIs" priority="2" dxfId="48" operator="equal" stopIfTrue="1">
      <formula>"B2"</formula>
    </cfRule>
    <cfRule type="cellIs" priority="3" dxfId="49"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7" r:id="rId2"/>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sheetPr>
    <tabColor indexed="41"/>
  </sheetPr>
  <dimension ref="A1:P35"/>
  <sheetViews>
    <sheetView showGridLines="0" zoomScalePageLayoutView="0" workbookViewId="0" topLeftCell="A17">
      <selection activeCell="N30" sqref="N30"/>
    </sheetView>
  </sheetViews>
  <sheetFormatPr defaultColWidth="11.00390625" defaultRowHeight="15"/>
  <cols>
    <col min="1" max="1" width="3.28125" style="0" customWidth="1"/>
    <col min="2" max="2" width="10.421875" style="0" customWidth="1"/>
    <col min="3" max="3" width="12.421875" style="0" customWidth="1"/>
    <col min="4" max="4" width="13.140625" style="0" customWidth="1"/>
    <col min="5" max="5" width="11.421875" style="0" customWidth="1"/>
    <col min="6" max="6" width="17.00390625" style="0" customWidth="1"/>
    <col min="7" max="7" width="3.8515625" style="0" customWidth="1"/>
    <col min="8" max="8" width="9.8515625" style="0" customWidth="1"/>
    <col min="9" max="9" width="13.00390625" style="0" customWidth="1"/>
    <col min="10" max="10" width="13.7109375" style="0" customWidth="1"/>
    <col min="11" max="11" width="13.57421875" style="0" customWidth="1"/>
    <col min="12" max="12" width="14.140625" style="0" customWidth="1"/>
  </cols>
  <sheetData>
    <row r="1" spans="3:5" ht="28.5" customHeight="1">
      <c r="C1" s="234"/>
      <c r="E1" s="235"/>
    </row>
    <row r="2" spans="2:16" ht="27.75" customHeight="1">
      <c r="B2" s="745" t="str">
        <f>+"Dashboard:  "&amp;"  "&amp;IF(+'Data Entry'!C4="Please Select","",'Data Entry'!C4&amp;" - ")&amp;IF('Data Entry'!G6="Please Select","",'Data Entry'!G6)</f>
        <v>Dashboard:    Ghana - TB</v>
      </c>
      <c r="C2" s="745"/>
      <c r="D2" s="745"/>
      <c r="E2" s="745"/>
      <c r="F2" s="745"/>
      <c r="G2" s="745"/>
      <c r="H2" s="745"/>
      <c r="I2" s="745"/>
      <c r="J2" s="745"/>
      <c r="K2" s="745"/>
      <c r="L2" s="745"/>
      <c r="M2" s="26"/>
      <c r="N2" s="26"/>
      <c r="O2" s="26"/>
      <c r="P2" s="26"/>
    </row>
    <row r="3" spans="2:12" ht="15">
      <c r="B3" s="24">
        <f>+IF('Data Entry'!G8="Please Select","",'Data Entry'!G8)</f>
        <v>0</v>
      </c>
      <c r="C3" s="735">
        <f>+IF('Data Entry'!I8="Please Select","",'Data Entry'!I8)</f>
        <v>0</v>
      </c>
      <c r="D3" s="735"/>
      <c r="E3" s="736"/>
      <c r="F3" s="736"/>
      <c r="G3" s="736"/>
      <c r="H3" s="736"/>
      <c r="I3" s="736"/>
      <c r="J3" s="740" t="str">
        <f>+'Data Entry'!B16</f>
        <v>Report Period:</v>
      </c>
      <c r="K3" s="740"/>
      <c r="L3" s="201" t="str">
        <f>+'Data Entry'!C16</f>
        <v>P2</v>
      </c>
    </row>
    <row r="4" spans="2:12" ht="15">
      <c r="B4" s="24" t="str">
        <f>+'Data Entry'!B12</f>
        <v>Latest Rating:</v>
      </c>
      <c r="C4" s="722">
        <f>+IF('Data Entry'!C12="Please Select","",'Data Entry'!C12)</f>
        <v>0</v>
      </c>
      <c r="D4" s="722"/>
      <c r="E4" s="736" t="str">
        <f>+'Data Entry'!C8</f>
        <v>Ministry of Health / Ghana Health Services</v>
      </c>
      <c r="F4" s="736"/>
      <c r="G4" s="736"/>
      <c r="H4" s="736"/>
      <c r="I4" s="736"/>
      <c r="J4" s="740" t="str">
        <f>+'Data Entry'!D16</f>
        <v>From:</v>
      </c>
      <c r="K4" s="741"/>
      <c r="L4" s="203">
        <f>+IF(ISBLANK('Data Entry'!E16),"",'Data Entry'!E16)</f>
        <v>42278</v>
      </c>
    </row>
    <row r="5" spans="2:12" ht="18.75" customHeight="1">
      <c r="B5" s="24"/>
      <c r="C5" s="24"/>
      <c r="D5" s="736" t="str">
        <f>+'Data Entry'!G4</f>
        <v>Accelerating access to prevention and treatment of TB towards attaining the MDGs</v>
      </c>
      <c r="E5" s="736"/>
      <c r="F5" s="736"/>
      <c r="G5" s="736"/>
      <c r="H5" s="736"/>
      <c r="I5" s="736"/>
      <c r="J5" s="736"/>
      <c r="K5" s="24" t="str">
        <f>+'Data Entry'!F16</f>
        <v>To:</v>
      </c>
      <c r="L5" s="203">
        <f>+IF(ISBLANK('Data Entry'!G16),"",'Data Entry'!G16)</f>
        <v>42369</v>
      </c>
    </row>
    <row r="6" spans="2:9" ht="18.75">
      <c r="B6" s="23"/>
      <c r="C6" s="24"/>
      <c r="D6" s="25"/>
      <c r="E6" s="746" t="s">
        <v>70</v>
      </c>
      <c r="F6" s="746"/>
      <c r="G6" s="746"/>
      <c r="H6" s="746"/>
      <c r="I6" s="746"/>
    </row>
    <row r="7" spans="2:8" ht="15">
      <c r="B7" s="390" t="str">
        <f>+'Data Entry'!B69&amp;"                "&amp;+J3&amp;" "&amp;+L3</f>
        <v>M1: Status of Conditions Precedent (CPs) and Time Bound Actions (TBAs)                Report Period: P2</v>
      </c>
      <c r="C7" s="21"/>
      <c r="H7" s="390" t="str">
        <f>+'Data Entry'!B76&amp;"                                                                             "&amp;+J3&amp;"  "&amp;+L3</f>
        <v>M2: Status of key PR management positions                                                                             Report Period:  P2</v>
      </c>
    </row>
    <row r="8" spans="2:12" ht="15">
      <c r="B8" s="364" t="s">
        <v>9</v>
      </c>
      <c r="C8" s="732"/>
      <c r="D8" s="733"/>
      <c r="E8" s="733"/>
      <c r="F8" s="734"/>
      <c r="G8" s="391"/>
      <c r="H8" s="363" t="s">
        <v>9</v>
      </c>
      <c r="I8" s="732"/>
      <c r="J8" s="742"/>
      <c r="K8" s="742"/>
      <c r="L8" s="743"/>
    </row>
    <row r="9" spans="2:8" ht="15">
      <c r="B9" s="19"/>
      <c r="C9" s="19"/>
      <c r="D9" s="19"/>
      <c r="E9" s="19"/>
      <c r="F9" s="19"/>
      <c r="G9" s="19"/>
      <c r="H9" s="19"/>
    </row>
    <row r="10" spans="1:16" ht="15">
      <c r="A10" s="47"/>
      <c r="B10" s="19"/>
      <c r="C10" s="19"/>
      <c r="D10" s="747"/>
      <c r="E10" s="541"/>
      <c r="F10" s="541"/>
      <c r="G10" s="210"/>
      <c r="H10" s="19"/>
      <c r="N10" s="49"/>
      <c r="O10" s="49"/>
      <c r="P10" s="48"/>
    </row>
    <row r="11" spans="2:15" ht="15">
      <c r="B11" s="19"/>
      <c r="C11" s="28"/>
      <c r="D11" s="747"/>
      <c r="E11" s="28"/>
      <c r="F11" s="28"/>
      <c r="G11" s="28"/>
      <c r="H11" s="28"/>
      <c r="N11" s="19"/>
      <c r="O11" s="19"/>
    </row>
    <row r="12" spans="2:8" ht="15">
      <c r="B12" s="28"/>
      <c r="C12" s="79"/>
      <c r="D12" s="80"/>
      <c r="E12" s="80"/>
      <c r="F12" s="80"/>
      <c r="G12" s="80"/>
      <c r="H12" s="81"/>
    </row>
    <row r="13" spans="2:8" ht="15">
      <c r="B13" s="28"/>
      <c r="C13" s="79"/>
      <c r="D13" s="80"/>
      <c r="E13" s="80"/>
      <c r="F13" s="80"/>
      <c r="G13" s="80"/>
      <c r="H13" s="81"/>
    </row>
    <row r="15" spans="2:8" ht="27.75" customHeight="1">
      <c r="B15" s="390" t="str">
        <f>+'Data Entry'!B81&amp;"                                                                                                  "&amp;+J3&amp;" "&amp;+L3</f>
        <v>M3: Contractual arrangements (SRs)                                                                                                   Report Period: P2</v>
      </c>
      <c r="H15" s="390" t="str">
        <f>+'Data Entry'!B86&amp;"                                                             "&amp;+J3&amp;" "&amp;+L3</f>
        <v>M4: Number of complete reports received on time                                                             Report Period: P2</v>
      </c>
    </row>
    <row r="16" spans="2:12" ht="15">
      <c r="B16" s="364" t="s">
        <v>9</v>
      </c>
      <c r="C16" s="732"/>
      <c r="D16" s="742"/>
      <c r="E16" s="742"/>
      <c r="F16" s="743"/>
      <c r="G16" s="391"/>
      <c r="H16" s="363" t="s">
        <v>9</v>
      </c>
      <c r="I16" s="732"/>
      <c r="J16" s="733"/>
      <c r="K16" s="733"/>
      <c r="L16" s="734"/>
    </row>
    <row r="17" spans="2:8" ht="15">
      <c r="B17" s="29"/>
      <c r="H17" s="30"/>
    </row>
    <row r="18" ht="15">
      <c r="M18" s="83"/>
    </row>
    <row r="26" spans="2:8" ht="15">
      <c r="B26" s="390" t="str">
        <f>+'Data Entry'!B92</f>
        <v>M5: Budget and Procurement of health products, health equipment, medicines and pharmaceuticals</v>
      </c>
      <c r="H26" s="390" t="str">
        <f>+'Data Entry'!B105&amp;"                                                                "&amp;+J3&amp;"  "&amp;+L3</f>
        <v>M6: Difference between current and safety stock                                                                Report Period:  P2</v>
      </c>
    </row>
    <row r="27" spans="2:12" ht="15">
      <c r="B27" s="362" t="s">
        <v>9</v>
      </c>
      <c r="C27" s="729"/>
      <c r="D27" s="742"/>
      <c r="E27" s="742"/>
      <c r="F27" s="743"/>
      <c r="G27" s="391"/>
      <c r="H27" s="363" t="s">
        <v>9</v>
      </c>
      <c r="I27" s="732"/>
      <c r="J27" s="733"/>
      <c r="K27" s="733"/>
      <c r="L27" s="734"/>
    </row>
    <row r="28" ht="15.75" thickBot="1"/>
    <row r="29" spans="6:12" ht="44.25" customHeight="1">
      <c r="F29" s="343"/>
      <c r="G29" s="343"/>
      <c r="H29" s="222" t="s">
        <v>33</v>
      </c>
      <c r="I29" s="339" t="s">
        <v>80</v>
      </c>
      <c r="J29" s="360" t="s">
        <v>343</v>
      </c>
      <c r="K29" s="221" t="s">
        <v>331</v>
      </c>
      <c r="L29" s="340" t="s">
        <v>330</v>
      </c>
    </row>
    <row r="30" spans="6:12" ht="15" customHeight="1">
      <c r="F30" s="343"/>
      <c r="G30" s="343"/>
      <c r="H30" s="737" t="str">
        <f>+'Data Entry'!B108</f>
        <v>Please Select</v>
      </c>
      <c r="I30" s="341" t="str">
        <f>+'Data Entry'!C108</f>
        <v>Ped: (ISONIAZID+RIFAMPICIN+PYRAZINAMIDE) +(ISONIAZID+RIFAMPICIN)Paediatrics)</v>
      </c>
      <c r="J30" s="459" t="e">
        <f>+'Data Entry'!I108</f>
        <v>#VALUE!</v>
      </c>
      <c r="K30" s="460">
        <f>+'Data Entry'!J108</f>
        <v>2.6</v>
      </c>
      <c r="L30" s="437" t="e">
        <f>+'Data Entry'!K108</f>
        <v>#VALUE!</v>
      </c>
    </row>
    <row r="31" spans="6:12" ht="15">
      <c r="F31" s="343"/>
      <c r="G31" s="343"/>
      <c r="H31" s="738"/>
      <c r="I31" s="341" t="str">
        <f>+'Data Entry'!C109</f>
        <v>Cat 1: (ISONIAZID+RIFAMPICI+PYRAZINAMIDE+ETHAMBUTOL)  + (ISONIAZID + RIFAMPICIN) Cat 1</v>
      </c>
      <c r="J31" s="459" t="e">
        <f>+'Data Entry'!I109</f>
        <v>#VALUE!</v>
      </c>
      <c r="K31" s="460">
        <f>+'Data Entry'!J109</f>
        <v>2.2</v>
      </c>
      <c r="L31" s="438" t="e">
        <f>+'Data Entry'!K109</f>
        <v>#VALUE!</v>
      </c>
    </row>
    <row r="32" spans="6:12" ht="15">
      <c r="F32" s="343"/>
      <c r="G32" s="343"/>
      <c r="H32" s="738"/>
      <c r="I32" s="341" t="str">
        <f>+'Data Entry'!C110</f>
        <v>Cat 2: (ISONIAZID+RIFAMPICIN+PYRAZINAMIDE+ETHAMBUTOL+ STREPTOMYCIN) + (ISONIAZID+RIFAMPICIN+ETHAMBUTOL) Cat 2</v>
      </c>
      <c r="J32" s="459" t="e">
        <f>+'Data Entry'!I110</f>
        <v>#VALUE!</v>
      </c>
      <c r="K32" s="460">
        <f>+'Data Entry'!J110</f>
        <v>2.2</v>
      </c>
      <c r="L32" s="437" t="e">
        <f>+'Data Entry'!K110</f>
        <v>#VALUE!</v>
      </c>
    </row>
    <row r="33" spans="6:12" ht="15.75" thickBot="1">
      <c r="F33" s="343"/>
      <c r="G33" s="343"/>
      <c r="H33" s="739"/>
      <c r="I33" s="342" t="str">
        <f>+'Data Entry'!C111</f>
        <v>Please Select</v>
      </c>
      <c r="J33" s="461">
        <f>+'Data Entry'!I111</f>
      </c>
      <c r="K33" s="462">
        <f>+'Data Entry'!J111</f>
        <v>0</v>
      </c>
      <c r="L33" s="437">
        <f>+'Data Entry'!K111</f>
      </c>
    </row>
    <row r="34" spans="2:12" ht="24.75" customHeight="1">
      <c r="B34" s="744" t="str">
        <f>+'Data Entry'!B102</f>
        <v>* Includes only EFR category 4 and 5  (Health products and health equipment &amp; Medicines and Pharmaceuticals)</v>
      </c>
      <c r="C34" s="744"/>
      <c r="D34" s="744"/>
      <c r="E34" s="744"/>
      <c r="F34" s="19"/>
      <c r="G34" s="19"/>
      <c r="H34" s="218"/>
      <c r="I34" s="219"/>
      <c r="J34" s="220"/>
      <c r="K34" s="210"/>
      <c r="L34" s="20"/>
    </row>
    <row r="35" spans="6:12" ht="15">
      <c r="F35" s="19"/>
      <c r="G35" s="19"/>
      <c r="H35" s="19"/>
      <c r="I35" s="19"/>
      <c r="J35" s="19"/>
      <c r="K35" s="19"/>
      <c r="L35" s="19"/>
    </row>
  </sheetData>
  <sheetProtection/>
  <mergeCells count="19">
    <mergeCell ref="B34:E34"/>
    <mergeCell ref="C27:F27"/>
    <mergeCell ref="B2:L2"/>
    <mergeCell ref="C4:D4"/>
    <mergeCell ref="E6:I6"/>
    <mergeCell ref="E3:I3"/>
    <mergeCell ref="J3:K3"/>
    <mergeCell ref="I16:L16"/>
    <mergeCell ref="I27:L27"/>
    <mergeCell ref="D10:D11"/>
    <mergeCell ref="C3:D3"/>
    <mergeCell ref="E4:I4"/>
    <mergeCell ref="H30:H33"/>
    <mergeCell ref="J4:K4"/>
    <mergeCell ref="I8:L8"/>
    <mergeCell ref="D5:J5"/>
    <mergeCell ref="C16:F16"/>
    <mergeCell ref="E10:F10"/>
    <mergeCell ref="C8:F8"/>
  </mergeCells>
  <conditionalFormatting sqref="D12:D13">
    <cfRule type="cellIs" priority="1" dxfId="6" operator="greaterThan" stopIfTrue="1">
      <formula>0</formula>
    </cfRule>
  </conditionalFormatting>
  <conditionalFormatting sqref="E12:E13">
    <cfRule type="cellIs" priority="2" dxfId="7" operator="greaterThan" stopIfTrue="1">
      <formula>0</formula>
    </cfRule>
  </conditionalFormatting>
  <conditionalFormatting sqref="F12:G13">
    <cfRule type="cellIs" priority="3" dxfId="51" operator="greaterThan" stopIfTrue="1">
      <formula>0</formula>
    </cfRule>
  </conditionalFormatting>
  <conditionalFormatting sqref="C4:D4">
    <cfRule type="cellIs" priority="4" dxfId="51" operator="equal" stopIfTrue="1">
      <formula>"C"</formula>
    </cfRule>
    <cfRule type="cellIs" priority="5" dxfId="48" operator="equal" stopIfTrue="1">
      <formula>"B2"</formula>
    </cfRule>
    <cfRule type="cellIs" priority="6" dxfId="49" operator="equal" stopIfTrue="1">
      <formula>"B1"</formula>
    </cfRule>
  </conditionalFormatting>
  <conditionalFormatting sqref="L30 L32:L33">
    <cfRule type="cellIs" priority="13" dxfId="54" operator="lessThan" stopIfTrue="1">
      <formula>1</formula>
    </cfRule>
    <cfRule type="cellIs" priority="14" dxfId="55" operator="between" stopIfTrue="1">
      <formula>3</formula>
      <formula>17</formula>
    </cfRule>
    <cfRule type="cellIs" priority="15" dxfId="56" operator="between" stopIfTrue="1">
      <formula>1</formula>
      <formula>3</formula>
    </cfRule>
  </conditionalFormatting>
  <conditionalFormatting sqref="L31">
    <cfRule type="cellIs" priority="16" dxfId="54" operator="lessThan" stopIfTrue="1">
      <formula>1</formula>
    </cfRule>
    <cfRule type="cellIs" priority="17" dxfId="55" operator="between" stopIfTrue="1">
      <formula>3</formula>
      <formula>100</formula>
    </cfRule>
    <cfRule type="cellIs" priority="18" dxfId="56" operator="between" stopIfTrue="1">
      <formula>1</formula>
      <formula>3</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3" r:id="rId2"/>
  <headerFooter alignWithMargins="0">
    <oddFooter>&amp;L&amp;F&amp;C&amp;A&amp;RV1.0          &amp;D</oddFooter>
  </headerFooter>
  <colBreaks count="1" manualBreakCount="1">
    <brk id="12" max="33" man="1"/>
  </colBreaks>
  <drawing r:id="rId1"/>
</worksheet>
</file>

<file path=xl/worksheets/sheet7.xml><?xml version="1.0" encoding="utf-8"?>
<worksheet xmlns="http://schemas.openxmlformats.org/spreadsheetml/2006/main" xmlns:r="http://schemas.openxmlformats.org/officeDocument/2006/relationships">
  <sheetPr>
    <tabColor indexed="41"/>
  </sheetPr>
  <dimension ref="A1:AI46"/>
  <sheetViews>
    <sheetView showGridLines="0" zoomScalePageLayoutView="0" workbookViewId="0" topLeftCell="A4">
      <selection activeCell="R20" sqref="R20"/>
    </sheetView>
  </sheetViews>
  <sheetFormatPr defaultColWidth="11.00390625" defaultRowHeight="15"/>
  <cols>
    <col min="1" max="1" width="0.42578125" style="0" customWidth="1"/>
    <col min="2" max="2" width="11.28125" style="0" customWidth="1"/>
    <col min="3" max="3" width="16.140625" style="0" customWidth="1"/>
    <col min="4" max="4" width="17.28125" style="0" customWidth="1"/>
    <col min="5" max="5" width="8.00390625" style="0" customWidth="1"/>
    <col min="6" max="6" width="7.7109375" style="0" customWidth="1"/>
    <col min="7" max="7" width="5.7109375" style="0" customWidth="1"/>
    <col min="8" max="8" width="6.28125" style="0" customWidth="1"/>
    <col min="9" max="9" width="6.00390625" style="0" customWidth="1"/>
    <col min="10" max="10" width="4.140625" style="0" customWidth="1"/>
    <col min="11" max="11" width="12.421875" style="0" customWidth="1"/>
    <col min="12" max="12" width="8.421875" style="0" customWidth="1"/>
    <col min="13" max="13" width="5.00390625" style="0" customWidth="1"/>
    <col min="14" max="14" width="6.57421875" style="0" customWidth="1"/>
    <col min="15" max="15" width="4.140625" style="0" customWidth="1"/>
    <col min="16" max="16" width="10.7109375" style="0" customWidth="1"/>
    <col min="17" max="17" width="11.7109375" style="0" customWidth="1"/>
    <col min="18" max="18" width="6.57421875" style="0" customWidth="1"/>
  </cols>
  <sheetData>
    <row r="1" spans="1:16" ht="26.25" customHeight="1">
      <c r="A1" s="3"/>
      <c r="B1" s="3"/>
      <c r="C1" s="3"/>
      <c r="D1" s="3"/>
      <c r="E1" s="3"/>
      <c r="F1" s="3"/>
      <c r="G1" s="3"/>
      <c r="H1" s="3"/>
      <c r="I1" s="3"/>
      <c r="J1" s="3"/>
      <c r="K1" s="3"/>
      <c r="L1" s="3"/>
      <c r="M1" s="3"/>
      <c r="N1" s="3"/>
      <c r="O1" s="3"/>
      <c r="P1" s="3"/>
    </row>
    <row r="2" spans="1:17" ht="21.75" customHeight="1">
      <c r="A2" s="3"/>
      <c r="B2" s="748" t="str">
        <f>+"Dashboard:  "&amp;"  "&amp;IF(+'Data Entry'!C4="Please Select","",'Data Entry'!C4&amp;" - ")&amp;IF('Data Entry'!G6="Please Select","",'Data Entry'!G6)</f>
        <v>Dashboard:    Ghana - TB</v>
      </c>
      <c r="C2" s="748"/>
      <c r="D2" s="748"/>
      <c r="E2" s="748"/>
      <c r="F2" s="748"/>
      <c r="G2" s="748"/>
      <c r="H2" s="748"/>
      <c r="I2" s="748"/>
      <c r="J2" s="748"/>
      <c r="K2" s="748"/>
      <c r="L2" s="748"/>
      <c r="M2" s="748"/>
      <c r="N2" s="748"/>
      <c r="O2" s="748"/>
      <c r="P2" s="748"/>
      <c r="Q2" s="748"/>
    </row>
    <row r="3" spans="1:17" ht="18.75">
      <c r="A3" s="3"/>
      <c r="B3" s="135">
        <f>+IF('Data Entry'!G8="Please Select","",'Data Entry'!G8)</f>
        <v>0</v>
      </c>
      <c r="C3" s="721">
        <f>+IF('Data Entry'!I8="Please Select","",'Data Entry'!I8)</f>
        <v>0</v>
      </c>
      <c r="D3" s="721"/>
      <c r="E3" s="720"/>
      <c r="F3" s="720"/>
      <c r="G3" s="720"/>
      <c r="H3" s="720"/>
      <c r="I3" s="751"/>
      <c r="J3" s="751"/>
      <c r="K3" s="751"/>
      <c r="L3" s="3"/>
      <c r="M3" s="3"/>
      <c r="O3" s="718" t="str">
        <f>+'Data Entry'!B16</f>
        <v>Report Period:</v>
      </c>
      <c r="P3" s="718"/>
      <c r="Q3" s="202" t="str">
        <f>+'Data Entry'!C16</f>
        <v>P2</v>
      </c>
    </row>
    <row r="4" spans="1:29" ht="12" customHeight="1">
      <c r="A4" s="3"/>
      <c r="B4" s="135" t="str">
        <f>+'Data Entry'!B12</f>
        <v>Latest Rating:</v>
      </c>
      <c r="C4" s="752">
        <f>+IF('Data Entry'!C12="Please Select","",'Data Entry'!C12)</f>
        <v>0</v>
      </c>
      <c r="D4" s="752"/>
      <c r="E4" s="720" t="str">
        <f>+'Data Entry'!C8</f>
        <v>Ministry of Health / Ghana Health Services</v>
      </c>
      <c r="F4" s="720"/>
      <c r="G4" s="720"/>
      <c r="H4" s="720"/>
      <c r="I4" s="720"/>
      <c r="J4" s="720"/>
      <c r="K4" s="720"/>
      <c r="L4" s="720"/>
      <c r="M4" s="3"/>
      <c r="O4" s="345"/>
      <c r="P4" s="135" t="str">
        <f>+'Data Entry'!D16</f>
        <v>From:</v>
      </c>
      <c r="Q4" s="346">
        <f>+IF(ISBLANK('Data Entry'!E16),"",'Data Entry'!E16)</f>
        <v>42278</v>
      </c>
      <c r="Y4" s="71"/>
      <c r="Z4" s="71"/>
      <c r="AA4" s="71"/>
      <c r="AB4" s="71"/>
      <c r="AC4" s="71"/>
    </row>
    <row r="5" spans="1:35" ht="15.75" customHeight="1">
      <c r="A5" s="3"/>
      <c r="B5" s="135"/>
      <c r="C5" s="135"/>
      <c r="D5" s="720" t="str">
        <f>+'Data Entry'!G4</f>
        <v>Accelerating access to prevention and treatment of TB towards attaining the MDGs</v>
      </c>
      <c r="E5" s="720"/>
      <c r="F5" s="720"/>
      <c r="G5" s="720"/>
      <c r="H5" s="720"/>
      <c r="I5" s="720"/>
      <c r="J5" s="720"/>
      <c r="K5" s="720"/>
      <c r="L5" s="720"/>
      <c r="M5" s="720"/>
      <c r="N5" s="720"/>
      <c r="P5" s="135" t="str">
        <f>+'Data Entry'!F16</f>
        <v>To:</v>
      </c>
      <c r="Q5" s="346">
        <f>+IF(ISBLANK('Data Entry'!G16),"",'Data Entry'!G16)</f>
        <v>42369</v>
      </c>
      <c r="S5" s="229"/>
      <c r="T5" s="229"/>
      <c r="U5" s="229"/>
      <c r="V5" s="229"/>
      <c r="W5" s="229"/>
      <c r="X5" s="229"/>
      <c r="Y5" s="71"/>
      <c r="Z5" s="71"/>
      <c r="AA5" s="71" t="s">
        <v>43</v>
      </c>
      <c r="AB5" s="71"/>
      <c r="AC5" s="71" t="s">
        <v>264</v>
      </c>
      <c r="AD5" s="229"/>
      <c r="AE5" s="229"/>
      <c r="AF5" s="229"/>
      <c r="AG5" s="229"/>
      <c r="AH5" s="229"/>
      <c r="AI5" s="229"/>
    </row>
    <row r="6" spans="1:35" ht="15.75" customHeight="1">
      <c r="A6" s="3"/>
      <c r="B6" s="135"/>
      <c r="C6" s="135"/>
      <c r="D6" s="227"/>
      <c r="E6" s="227"/>
      <c r="F6" s="750" t="s">
        <v>393</v>
      </c>
      <c r="G6" s="750"/>
      <c r="H6" s="750"/>
      <c r="I6" s="750"/>
      <c r="J6" s="750"/>
      <c r="K6" s="750"/>
      <c r="L6" s="227"/>
      <c r="M6" s="3"/>
      <c r="N6" s="3"/>
      <c r="O6" s="204"/>
      <c r="P6" s="262"/>
      <c r="S6" s="229"/>
      <c r="T6" s="229"/>
      <c r="U6" s="229"/>
      <c r="V6" s="229"/>
      <c r="W6" s="229"/>
      <c r="X6" s="229"/>
      <c r="Y6" s="71"/>
      <c r="Z6" s="71"/>
      <c r="AA6" s="71"/>
      <c r="AB6" s="71"/>
      <c r="AC6" s="71"/>
      <c r="AD6" s="229"/>
      <c r="AE6" s="229"/>
      <c r="AF6" s="229"/>
      <c r="AG6" s="229"/>
      <c r="AH6" s="229"/>
      <c r="AI6" s="229"/>
    </row>
    <row r="7" spans="1:35" ht="3" customHeight="1">
      <c r="A7" s="3"/>
      <c r="B7" s="135"/>
      <c r="C7" s="135"/>
      <c r="D7" s="227"/>
      <c r="E7" s="227"/>
      <c r="F7" s="227"/>
      <c r="G7" s="227"/>
      <c r="H7" s="227"/>
      <c r="I7" s="227"/>
      <c r="J7" s="227"/>
      <c r="K7" s="227"/>
      <c r="L7" s="227"/>
      <c r="M7" s="3"/>
      <c r="N7" s="3"/>
      <c r="O7" s="204"/>
      <c r="P7" s="203"/>
      <c r="Q7" s="203"/>
      <c r="S7" s="229"/>
      <c r="T7" s="229"/>
      <c r="U7" s="229"/>
      <c r="V7" s="229"/>
      <c r="W7" s="229"/>
      <c r="X7" s="229"/>
      <c r="Y7" s="71"/>
      <c r="Z7" s="71"/>
      <c r="AA7" s="71"/>
      <c r="AB7" s="71"/>
      <c r="AC7" s="71"/>
      <c r="AD7" s="229"/>
      <c r="AE7" s="229"/>
      <c r="AF7" s="229"/>
      <c r="AG7" s="229"/>
      <c r="AH7" s="229"/>
      <c r="AI7" s="229"/>
    </row>
    <row r="8" spans="1:35" ht="18.75" customHeight="1">
      <c r="A8" s="3"/>
      <c r="B8" s="749" t="str">
        <f>+'Data Entry'!B118</f>
        <v>DOTS-1a: Number of notified cases of all forms of TB - bacteriologically confirmed plus clinically diagnosed, new and relapses</v>
      </c>
      <c r="C8" s="749"/>
      <c r="D8" s="749"/>
      <c r="E8" s="749"/>
      <c r="F8" s="749" t="str">
        <f>+'Data Entry'!B120</f>
        <v>DOTS-1b: Number of notified cases of bacteriologically confirmed TB, new and relapses</v>
      </c>
      <c r="G8" s="749"/>
      <c r="H8" s="749"/>
      <c r="I8" s="749"/>
      <c r="J8" s="749"/>
      <c r="K8" s="749"/>
      <c r="L8" s="749" t="str">
        <f>+'Data Entry'!B122</f>
        <v>DOTS-2a: Percentage of TB cases, all forms, bacteriologically confirmed plus clinically diagnosed, successfully treated (cured plus treatment completed) among all new TB cases registered for treatment during a specified period</v>
      </c>
      <c r="M8" s="749"/>
      <c r="N8" s="749"/>
      <c r="O8" s="749"/>
      <c r="P8" s="749"/>
      <c r="Q8" s="749"/>
      <c r="S8" s="229"/>
      <c r="T8" s="229"/>
      <c r="U8" s="229"/>
      <c r="V8" s="229"/>
      <c r="W8" s="229"/>
      <c r="X8" s="229"/>
      <c r="Y8" s="71"/>
      <c r="Z8" s="71"/>
      <c r="AA8" s="71"/>
      <c r="AB8" s="71"/>
      <c r="AC8" s="71"/>
      <c r="AD8" s="229"/>
      <c r="AE8" s="229"/>
      <c r="AF8" s="229"/>
      <c r="AG8" s="229"/>
      <c r="AH8" s="229"/>
      <c r="AI8" s="229"/>
    </row>
    <row r="9" spans="1:35" ht="24" customHeight="1">
      <c r="A9" s="3"/>
      <c r="B9" s="490" t="s">
        <v>412</v>
      </c>
      <c r="C9" s="781"/>
      <c r="D9" s="782"/>
      <c r="E9" s="783"/>
      <c r="F9" s="490" t="s">
        <v>413</v>
      </c>
      <c r="G9" s="781"/>
      <c r="H9" s="782"/>
      <c r="I9" s="782"/>
      <c r="J9" s="782"/>
      <c r="K9" s="783"/>
      <c r="L9" s="490" t="s">
        <v>414</v>
      </c>
      <c r="M9" s="781"/>
      <c r="N9" s="784"/>
      <c r="O9" s="784"/>
      <c r="P9" s="784"/>
      <c r="Q9" s="785"/>
      <c r="S9" s="229"/>
      <c r="T9" s="229"/>
      <c r="U9" s="229"/>
      <c r="V9" s="229"/>
      <c r="W9" s="229"/>
      <c r="X9" s="229"/>
      <c r="Y9" s="229"/>
      <c r="Z9" s="229"/>
      <c r="AA9" s="229"/>
      <c r="AB9" s="229"/>
      <c r="AC9" s="229"/>
      <c r="AD9" s="229"/>
      <c r="AE9" s="229"/>
      <c r="AF9" s="229"/>
      <c r="AG9" s="229"/>
      <c r="AH9" s="229"/>
      <c r="AI9" s="229"/>
    </row>
    <row r="10" spans="1:35" ht="18.75" customHeight="1">
      <c r="A10" s="3"/>
      <c r="B10" s="135"/>
      <c r="C10" s="135"/>
      <c r="D10" s="227"/>
      <c r="E10" s="227"/>
      <c r="F10" s="227"/>
      <c r="G10" s="227"/>
      <c r="H10" s="227"/>
      <c r="I10" s="227"/>
      <c r="J10" s="227"/>
      <c r="K10" s="227"/>
      <c r="L10" s="227"/>
      <c r="M10" s="3"/>
      <c r="N10" s="3"/>
      <c r="O10" s="204"/>
      <c r="P10" s="203"/>
      <c r="S10" s="229"/>
      <c r="T10" s="229"/>
      <c r="U10" s="229"/>
      <c r="V10" s="229"/>
      <c r="W10" s="229"/>
      <c r="X10" s="229"/>
      <c r="Y10" s="229"/>
      <c r="Z10" s="229"/>
      <c r="AA10" s="229"/>
      <c r="AB10" s="229"/>
      <c r="AC10" s="229"/>
      <c r="AD10" s="229"/>
      <c r="AE10" s="229"/>
      <c r="AF10" s="229"/>
      <c r="AG10" s="229"/>
      <c r="AH10" s="229"/>
      <c r="AI10" s="229"/>
    </row>
    <row r="11" spans="1:35" ht="18.75" customHeight="1">
      <c r="A11" s="3"/>
      <c r="B11" s="135"/>
      <c r="C11" s="135"/>
      <c r="D11" s="227"/>
      <c r="E11" s="227"/>
      <c r="F11" s="227"/>
      <c r="G11" s="227"/>
      <c r="H11" s="227"/>
      <c r="I11" s="227"/>
      <c r="J11" s="227"/>
      <c r="K11" s="227"/>
      <c r="L11" s="227"/>
      <c r="M11" s="3"/>
      <c r="N11" s="3"/>
      <c r="O11" s="204"/>
      <c r="P11" s="203"/>
      <c r="S11" s="229"/>
      <c r="T11" s="229"/>
      <c r="U11" s="229"/>
      <c r="V11" s="229"/>
      <c r="W11" s="229"/>
      <c r="X11" s="229"/>
      <c r="Y11" s="229"/>
      <c r="Z11" s="229"/>
      <c r="AA11" s="229"/>
      <c r="AB11" s="229"/>
      <c r="AC11" s="229"/>
      <c r="AD11" s="229"/>
      <c r="AE11" s="229"/>
      <c r="AF11" s="229"/>
      <c r="AG11" s="229"/>
      <c r="AH11" s="229"/>
      <c r="AI11" s="229"/>
    </row>
    <row r="12" spans="1:35" ht="18.75" customHeight="1">
      <c r="A12" s="3"/>
      <c r="B12" s="135"/>
      <c r="C12" s="135"/>
      <c r="D12" s="227"/>
      <c r="E12" s="227"/>
      <c r="F12" s="227"/>
      <c r="G12" s="227"/>
      <c r="H12" s="227"/>
      <c r="I12" s="227"/>
      <c r="J12" s="227"/>
      <c r="K12" s="227"/>
      <c r="L12" s="227"/>
      <c r="M12" s="3"/>
      <c r="N12" s="3"/>
      <c r="O12" s="204"/>
      <c r="P12" s="203"/>
      <c r="S12" s="229"/>
      <c r="T12" s="229"/>
      <c r="U12" s="229"/>
      <c r="V12" s="229"/>
      <c r="W12" s="229"/>
      <c r="X12" s="229"/>
      <c r="Y12" s="229"/>
      <c r="Z12" s="229"/>
      <c r="AA12" s="229"/>
      <c r="AB12" s="229"/>
      <c r="AC12" s="229"/>
      <c r="AD12" s="229"/>
      <c r="AE12" s="229"/>
      <c r="AF12" s="229"/>
      <c r="AG12" s="229"/>
      <c r="AH12" s="229"/>
      <c r="AI12" s="229"/>
    </row>
    <row r="13" spans="1:35" ht="18.75" customHeight="1">
      <c r="A13" s="3"/>
      <c r="B13" s="135"/>
      <c r="C13" s="135"/>
      <c r="D13" s="227"/>
      <c r="E13" s="227"/>
      <c r="F13" s="227"/>
      <c r="G13" s="227"/>
      <c r="H13" s="227"/>
      <c r="I13" s="227"/>
      <c r="J13" s="227"/>
      <c r="K13" s="227"/>
      <c r="L13" s="227"/>
      <c r="M13" s="3"/>
      <c r="N13" s="3"/>
      <c r="O13" s="204"/>
      <c r="P13" s="203"/>
      <c r="S13" s="229"/>
      <c r="T13" s="229"/>
      <c r="U13" s="229"/>
      <c r="V13" s="229"/>
      <c r="W13" s="229"/>
      <c r="X13" s="229"/>
      <c r="Y13" s="229"/>
      <c r="Z13" s="229"/>
      <c r="AA13" s="229"/>
      <c r="AB13" s="229"/>
      <c r="AC13" s="229"/>
      <c r="AD13" s="229"/>
      <c r="AE13" s="229"/>
      <c r="AF13" s="229"/>
      <c r="AG13" s="229"/>
      <c r="AH13" s="229"/>
      <c r="AI13" s="229"/>
    </row>
    <row r="14" spans="1:35" ht="18.75" customHeight="1">
      <c r="A14" s="3"/>
      <c r="B14" s="135"/>
      <c r="C14" s="135"/>
      <c r="D14" s="227"/>
      <c r="E14" s="227"/>
      <c r="F14" s="227"/>
      <c r="G14" s="227"/>
      <c r="H14" s="227"/>
      <c r="I14" s="227"/>
      <c r="J14" s="227"/>
      <c r="K14" s="227"/>
      <c r="L14" s="227"/>
      <c r="M14" s="3"/>
      <c r="N14" s="3"/>
      <c r="O14" s="204"/>
      <c r="P14" s="203"/>
      <c r="S14" s="229"/>
      <c r="T14" s="229"/>
      <c r="U14" s="229"/>
      <c r="V14" s="229"/>
      <c r="W14" s="229"/>
      <c r="X14" s="229"/>
      <c r="Y14" s="229"/>
      <c r="Z14" s="229"/>
      <c r="AA14" s="229"/>
      <c r="AB14" s="229"/>
      <c r="AC14" s="229"/>
      <c r="AD14" s="229"/>
      <c r="AE14" s="229"/>
      <c r="AF14" s="229"/>
      <c r="AG14" s="229"/>
      <c r="AH14" s="229"/>
      <c r="AI14" s="229"/>
    </row>
    <row r="15" spans="1:35" ht="18.75" customHeight="1">
      <c r="A15" s="3"/>
      <c r="B15" s="135"/>
      <c r="C15" s="135"/>
      <c r="D15" s="227"/>
      <c r="E15" s="227"/>
      <c r="F15" s="227"/>
      <c r="G15" s="227"/>
      <c r="H15" s="227"/>
      <c r="I15" s="227"/>
      <c r="J15" s="227"/>
      <c r="K15" s="227"/>
      <c r="L15" s="227"/>
      <c r="M15" s="3"/>
      <c r="N15" s="3"/>
      <c r="O15" s="204"/>
      <c r="P15" s="203"/>
      <c r="S15" s="229"/>
      <c r="T15" s="229"/>
      <c r="U15" s="229"/>
      <c r="V15" s="229"/>
      <c r="W15" s="229"/>
      <c r="X15" s="229"/>
      <c r="Y15" s="229"/>
      <c r="Z15" s="229"/>
      <c r="AA15" s="229"/>
      <c r="AB15" s="229"/>
      <c r="AC15" s="229"/>
      <c r="AD15" s="229"/>
      <c r="AE15" s="229"/>
      <c r="AF15" s="229"/>
      <c r="AG15" s="229"/>
      <c r="AH15" s="229"/>
      <c r="AI15" s="229"/>
    </row>
    <row r="16" spans="1:35" ht="18.75" customHeight="1">
      <c r="A16" s="3"/>
      <c r="B16" s="135"/>
      <c r="C16" s="135"/>
      <c r="D16" s="227"/>
      <c r="E16" s="227"/>
      <c r="F16" s="227"/>
      <c r="G16" s="227"/>
      <c r="H16" s="227"/>
      <c r="I16" s="227"/>
      <c r="J16" s="227"/>
      <c r="K16" s="227"/>
      <c r="L16" s="227"/>
      <c r="M16" s="3"/>
      <c r="N16" s="3"/>
      <c r="O16" s="204"/>
      <c r="P16" s="203"/>
      <c r="S16" s="229"/>
      <c r="T16" s="229"/>
      <c r="U16" s="229"/>
      <c r="V16" s="229"/>
      <c r="W16" s="229"/>
      <c r="X16" s="229"/>
      <c r="Y16" s="229"/>
      <c r="Z16" s="229"/>
      <c r="AA16" s="229"/>
      <c r="AB16" s="229"/>
      <c r="AC16" s="229"/>
      <c r="AD16" s="229"/>
      <c r="AE16" s="229"/>
      <c r="AF16" s="229"/>
      <c r="AG16" s="229"/>
      <c r="AH16" s="229"/>
      <c r="AI16" s="229"/>
    </row>
    <row r="17" spans="1:35" ht="17.25" customHeight="1">
      <c r="A17" s="3"/>
      <c r="B17" s="135"/>
      <c r="C17" s="135"/>
      <c r="D17" s="227"/>
      <c r="E17" s="227"/>
      <c r="F17" s="227"/>
      <c r="G17" s="227"/>
      <c r="H17" s="227"/>
      <c r="I17" s="227"/>
      <c r="J17" s="227"/>
      <c r="K17" s="227"/>
      <c r="L17" s="227"/>
      <c r="M17" s="3"/>
      <c r="N17" s="3"/>
      <c r="O17" s="204"/>
      <c r="P17" s="203"/>
      <c r="S17" s="229"/>
      <c r="T17" s="229"/>
      <c r="U17" s="229"/>
      <c r="V17" s="229"/>
      <c r="W17" s="229"/>
      <c r="X17" s="229"/>
      <c r="Y17" s="229"/>
      <c r="Z17" s="229"/>
      <c r="AA17" s="229"/>
      <c r="AB17" s="229"/>
      <c r="AC17" s="229"/>
      <c r="AD17" s="229"/>
      <c r="AE17" s="229"/>
      <c r="AF17" s="229"/>
      <c r="AG17" s="229"/>
      <c r="AH17" s="229"/>
      <c r="AI17" s="229"/>
    </row>
    <row r="18" spans="1:35" ht="6" customHeight="1">
      <c r="A18" s="3"/>
      <c r="B18" s="139"/>
      <c r="C18" s="135"/>
      <c r="D18" s="136"/>
      <c r="E18" s="765"/>
      <c r="F18" s="765"/>
      <c r="G18" s="765"/>
      <c r="H18" s="765"/>
      <c r="I18" s="765"/>
      <c r="J18" s="765"/>
      <c r="K18" s="765"/>
      <c r="L18" s="3"/>
      <c r="M18" s="3"/>
      <c r="N18" s="3"/>
      <c r="O18" s="3"/>
      <c r="P18" s="3"/>
      <c r="S18" s="229"/>
      <c r="T18" s="229"/>
      <c r="U18" s="229"/>
      <c r="V18" s="229"/>
      <c r="W18" s="229"/>
      <c r="X18" s="229"/>
      <c r="Y18" s="229"/>
      <c r="Z18" s="229"/>
      <c r="AA18" s="229"/>
      <c r="AB18" s="229"/>
      <c r="AC18" s="229"/>
      <c r="AD18" s="229"/>
      <c r="AE18" s="229"/>
      <c r="AF18" s="229"/>
      <c r="AG18" s="229"/>
      <c r="AH18" s="229"/>
      <c r="AI18" s="229"/>
    </row>
    <row r="19" spans="1:35" ht="24" customHeight="1">
      <c r="A19" s="3"/>
      <c r="B19" s="766" t="s">
        <v>89</v>
      </c>
      <c r="C19" s="766"/>
      <c r="D19" s="766"/>
      <c r="E19" s="146" t="s">
        <v>86</v>
      </c>
      <c r="F19" s="146" t="s">
        <v>90</v>
      </c>
      <c r="G19" s="761" t="s">
        <v>332</v>
      </c>
      <c r="H19" s="762"/>
      <c r="I19" s="763" t="s">
        <v>333</v>
      </c>
      <c r="J19" s="764"/>
      <c r="K19" s="344" t="s">
        <v>334</v>
      </c>
      <c r="L19" s="757" t="s">
        <v>93</v>
      </c>
      <c r="M19" s="758"/>
      <c r="N19" s="758"/>
      <c r="O19" s="758"/>
      <c r="P19" s="758"/>
      <c r="Q19" s="759"/>
      <c r="S19" s="65" t="s">
        <v>91</v>
      </c>
      <c r="T19" s="66">
        <v>0</v>
      </c>
      <c r="U19" s="67">
        <v>0.3</v>
      </c>
      <c r="V19" s="67">
        <v>0.6</v>
      </c>
      <c r="W19" s="67">
        <v>0.9</v>
      </c>
      <c r="X19" s="67">
        <v>1</v>
      </c>
      <c r="Y19" s="71"/>
      <c r="Z19" s="71"/>
      <c r="AA19" s="65" t="s">
        <v>91</v>
      </c>
      <c r="AB19" s="66">
        <v>0</v>
      </c>
      <c r="AC19" s="67">
        <v>0.2</v>
      </c>
      <c r="AD19" s="67">
        <v>0.4</v>
      </c>
      <c r="AE19" s="67">
        <v>0.6</v>
      </c>
      <c r="AF19" s="67">
        <v>0.8</v>
      </c>
      <c r="AG19" s="71"/>
      <c r="AH19" s="71"/>
      <c r="AI19" s="71"/>
    </row>
    <row r="20" spans="1:35" ht="67.5" customHeight="1">
      <c r="A20" s="3"/>
      <c r="B20" s="760" t="str">
        <f>+'Data Entry'!B118</f>
        <v>DOTS-1a: Number of notified cases of all forms of TB - bacteriologically confirmed plus clinically diagnosed, new and relapses</v>
      </c>
      <c r="C20" s="760"/>
      <c r="D20" s="760"/>
      <c r="E20" s="147">
        <f ca="1">OFFSET('Data Entry'!$G$117,1,RIGHT('Data Entry'!$C$16,LEN('Data Entry'!$C$16)-1),1,1)</f>
        <v>23153</v>
      </c>
      <c r="F20" s="147">
        <f ca="1">OFFSET('Data Entry'!$G$117,2,RIGHT('Data Entry'!$C$16,LEN('Data Entry'!$C$16)-1),1,1)</f>
        <v>14891</v>
      </c>
      <c r="G20" s="753">
        <f aca="true" t="shared" si="0" ref="G20:G29">+IF(ISERROR(F20/E20),0,F20/E20)</f>
        <v>0.6431563944197296</v>
      </c>
      <c r="H20" s="754"/>
      <c r="I20" s="754"/>
      <c r="J20" s="754"/>
      <c r="K20" s="755"/>
      <c r="L20" s="773" t="s">
        <v>457</v>
      </c>
      <c r="M20" s="774"/>
      <c r="N20" s="774"/>
      <c r="O20" s="774"/>
      <c r="P20" s="774"/>
      <c r="Q20" s="775"/>
      <c r="S20" s="65" t="s">
        <v>92</v>
      </c>
      <c r="T20" s="68">
        <v>0.3</v>
      </c>
      <c r="U20" s="67">
        <v>0.6</v>
      </c>
      <c r="V20" s="67">
        <v>0.9</v>
      </c>
      <c r="W20" s="67">
        <v>1</v>
      </c>
      <c r="X20" s="67">
        <v>2</v>
      </c>
      <c r="Y20" s="71"/>
      <c r="Z20" s="71"/>
      <c r="AA20" s="65" t="s">
        <v>92</v>
      </c>
      <c r="AB20" s="68">
        <v>0.2</v>
      </c>
      <c r="AC20" s="67">
        <v>0.4</v>
      </c>
      <c r="AD20" s="67">
        <v>0.6</v>
      </c>
      <c r="AE20" s="67">
        <v>0.8</v>
      </c>
      <c r="AF20" s="67">
        <v>1</v>
      </c>
      <c r="AG20" s="71"/>
      <c r="AH20" s="71"/>
      <c r="AI20" s="71"/>
    </row>
    <row r="21" spans="1:35" ht="52.5" customHeight="1">
      <c r="A21" s="3"/>
      <c r="B21" s="760" t="str">
        <f>+'Data Entry'!B120</f>
        <v>DOTS-1b: Number of notified cases of bacteriologically confirmed TB, new and relapses</v>
      </c>
      <c r="C21" s="760"/>
      <c r="D21" s="760"/>
      <c r="E21" s="147">
        <f ca="1">OFFSET('Data Entry'!$G$117,3,RIGHT('Data Entry'!$C$16,LEN('Data Entry'!$C$16)-1),1,1)</f>
        <v>11345</v>
      </c>
      <c r="F21" s="147">
        <f ca="1">OFFSET('Data Entry'!$G$117,4,RIGHT('Data Entry'!$C$16,LEN('Data Entry'!$C$16)-1),1,1)</f>
        <v>8178</v>
      </c>
      <c r="G21" s="753">
        <f t="shared" si="0"/>
        <v>0.7208461877479065</v>
      </c>
      <c r="H21" s="754"/>
      <c r="I21" s="754"/>
      <c r="J21" s="754"/>
      <c r="K21" s="755"/>
      <c r="L21" s="756" t="s">
        <v>458</v>
      </c>
      <c r="M21" s="756"/>
      <c r="N21" s="756"/>
      <c r="O21" s="756"/>
      <c r="P21" s="756"/>
      <c r="Q21" s="756"/>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265</v>
      </c>
      <c r="AA21" s="69" t="s">
        <v>264</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55.5" customHeight="1">
      <c r="A22" s="3"/>
      <c r="B22" s="760" t="str">
        <f>+'Data Entry'!B122</f>
        <v>DOTS-2a: Percentage of TB cases, all forms, bacteriologically confirmed plus clinically diagnosed, successfully treated (cured plus treatment completed) among all new TB cases registered for treatment during a specified period</v>
      </c>
      <c r="C22" s="760"/>
      <c r="D22" s="760"/>
      <c r="E22" s="147">
        <f ca="1">OFFSET('Data Entry'!$G$117,5,RIGHT('Data Entry'!$C$16,LEN('Data Entry'!$C$16)-1),1,1)</f>
        <v>0.87</v>
      </c>
      <c r="F22" s="147">
        <f ca="1">OFFSET('Data Entry'!$G$117,6,RIGHT('Data Entry'!$C$16,LEN('Data Entry'!$C$16)-1),1,1)</f>
        <v>0.8526803983085527</v>
      </c>
      <c r="G22" s="753">
        <f t="shared" si="0"/>
        <v>0.9800924118489112</v>
      </c>
      <c r="H22" s="754"/>
      <c r="I22" s="754"/>
      <c r="J22" s="754"/>
      <c r="K22" s="755"/>
      <c r="L22" s="773" t="s">
        <v>462</v>
      </c>
      <c r="M22" s="774"/>
      <c r="N22" s="774"/>
      <c r="O22" s="774"/>
      <c r="P22" s="774"/>
      <c r="Q22" s="775"/>
      <c r="S22" s="69"/>
      <c r="T22" s="67" t="e">
        <f aca="true" t="shared" si="1" ref="T22:W33">IF($K20&gt;T$19,IF($K20&lt;=T$20,$K20,NA()),NA())</f>
        <v>#N/A</v>
      </c>
      <c r="U22" s="67" t="e">
        <f t="shared" si="1"/>
        <v>#N/A</v>
      </c>
      <c r="V22" s="67" t="e">
        <f t="shared" si="1"/>
        <v>#N/A</v>
      </c>
      <c r="W22" s="67" t="e">
        <f t="shared" si="1"/>
        <v>#N/A</v>
      </c>
      <c r="X22" s="67" t="e">
        <f>IF($K20&gt;X$19,IF($K20&lt;=X$20,1,NA()),NA())</f>
        <v>#N/A</v>
      </c>
      <c r="Y22" s="71"/>
      <c r="Z22" s="200" t="e">
        <f>+'Grant Detail'!#REF!</f>
        <v>#REF!</v>
      </c>
      <c r="AA22" s="67" t="e">
        <f>+IF(Z22="A1",1,IF(Z22="A2",0.8,IF(Z22="B1",0.6,IF(Z22="B2",0.4,0.2))))</f>
        <v>#REF!</v>
      </c>
      <c r="AB22" s="67" t="e">
        <f>IF($AA22&gt;AB$19,IF($AA22&lt;=AB$20,$AA22,NA()),NA())</f>
        <v>#REF!</v>
      </c>
      <c r="AC22" s="67" t="e">
        <f aca="true" t="shared" si="2" ref="AC22:AF24">IF($AA22&gt;AC$19,IF($AA22&lt;=AC$20,$AA22,NA()),NA())</f>
        <v>#REF!</v>
      </c>
      <c r="AD22" s="67" t="e">
        <f t="shared" si="2"/>
        <v>#REF!</v>
      </c>
      <c r="AE22" s="67" t="e">
        <f t="shared" si="2"/>
        <v>#REF!</v>
      </c>
      <c r="AF22" s="67" t="e">
        <f t="shared" si="2"/>
        <v>#REF!</v>
      </c>
      <c r="AG22" s="71"/>
      <c r="AH22" s="71"/>
      <c r="AI22" s="71"/>
    </row>
    <row r="23" spans="1:35" ht="48.75" customHeight="1">
      <c r="A23" s="3"/>
      <c r="B23" s="768" t="str">
        <f>+'Data Entry'!B124</f>
        <v>DOTS-3: Percentage of laboratories showing adequate performance in external quality assurance for smear microscopy among the total number of laboratories that undertake smear microscopy during the reporting period</v>
      </c>
      <c r="C23" s="769"/>
      <c r="D23" s="770"/>
      <c r="E23" s="147">
        <f ca="1">OFFSET('Data Entry'!$G$117,7,RIGHT('Data Entry'!$C$16,LEN('Data Entry'!$C$16)-1),1,1)</f>
        <v>0.65</v>
      </c>
      <c r="F23" s="147">
        <f ca="1">OFFSET('Data Entry'!$G$117,8,RIGHT('Data Entry'!$C$16,LEN('Data Entry'!$C$16)-1),1,1)</f>
        <v>0.9087837837837838</v>
      </c>
      <c r="G23" s="753">
        <f t="shared" si="0"/>
        <v>1.398128898128898</v>
      </c>
      <c r="H23" s="754"/>
      <c r="I23" s="754"/>
      <c r="J23" s="754"/>
      <c r="K23" s="755"/>
      <c r="L23" s="756" t="s">
        <v>459</v>
      </c>
      <c r="M23" s="756"/>
      <c r="N23" s="756"/>
      <c r="O23" s="756"/>
      <c r="P23" s="756"/>
      <c r="Q23" s="756"/>
      <c r="S23" s="69"/>
      <c r="T23" s="67" t="e">
        <f t="shared" si="1"/>
        <v>#N/A</v>
      </c>
      <c r="U23" s="67" t="e">
        <f t="shared" si="1"/>
        <v>#N/A</v>
      </c>
      <c r="V23" s="67" t="e">
        <f t="shared" si="1"/>
        <v>#N/A</v>
      </c>
      <c r="W23" s="67" t="e">
        <f t="shared" si="1"/>
        <v>#N/A</v>
      </c>
      <c r="X23" s="67" t="e">
        <f>IF($K21&gt;X$19,IF($K21&lt;=X$20,1,1),NA())</f>
        <v>#N/A</v>
      </c>
      <c r="Y23" s="71"/>
      <c r="Z23" s="200"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35.25" customHeight="1">
      <c r="A24" s="3"/>
      <c r="B24" s="760" t="str">
        <f>+'Data Entry'!B126</f>
        <v>DOTS-4: Percentage of reporting units reporting no stock-out of first-line anti-TB drugs on the last day of the quarter</v>
      </c>
      <c r="C24" s="760"/>
      <c r="D24" s="760"/>
      <c r="E24" s="147">
        <f ca="1">OFFSET('Data Entry'!$G$117,9,RIGHT('Data Entry'!$C$16,LEN('Data Entry'!$C$16)-1),1,1)</f>
        <v>1</v>
      </c>
      <c r="F24" s="147">
        <f ca="1">OFFSET('Data Entry'!$G$117,10,RIGHT('Data Entry'!$C$16,LEN('Data Entry'!$C$16)-1),1,1)</f>
        <v>1</v>
      </c>
      <c r="G24" s="753">
        <f t="shared" si="0"/>
        <v>1</v>
      </c>
      <c r="H24" s="754"/>
      <c r="I24" s="754"/>
      <c r="J24" s="754"/>
      <c r="K24" s="755"/>
      <c r="L24" s="756" t="s">
        <v>447</v>
      </c>
      <c r="M24" s="756"/>
      <c r="N24" s="756"/>
      <c r="O24" s="756"/>
      <c r="P24" s="756"/>
      <c r="Q24" s="756"/>
      <c r="S24" s="69"/>
      <c r="T24" s="67" t="e">
        <f t="shared" si="1"/>
        <v>#N/A</v>
      </c>
      <c r="U24" s="67" t="e">
        <f t="shared" si="1"/>
        <v>#N/A</v>
      </c>
      <c r="V24" s="67" t="e">
        <f t="shared" si="1"/>
        <v>#N/A</v>
      </c>
      <c r="W24" s="67" t="e">
        <f t="shared" si="1"/>
        <v>#N/A</v>
      </c>
      <c r="X24" s="67" t="e">
        <f aca="true" t="shared" si="3" ref="X24:X33">IF($K22&gt;X$19,IF($K22&lt;=X$20,1,NA()),NA())</f>
        <v>#N/A</v>
      </c>
      <c r="Y24" s="71"/>
      <c r="Z24" s="200"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48.75" customHeight="1">
      <c r="A25" s="3"/>
      <c r="B25" s="760" t="str">
        <f>+'Data Entry'!B128</f>
        <v>DOTS-7a: Percentage of notified TB cases, all forms, contributed by non-NTP providers - private/non-governmental facilities</v>
      </c>
      <c r="C25" s="760"/>
      <c r="D25" s="760"/>
      <c r="E25" s="147">
        <f ca="1">OFFSET('Data Entry'!$G$117,11,RIGHT('Data Entry'!$C$16,LEN('Data Entry'!$C$16)-1),1,1)</f>
        <v>0.06</v>
      </c>
      <c r="F25" s="147">
        <f ca="1">OFFSET('Data Entry'!$G$117,12,RIGHT('Data Entry'!$C$16,LEN('Data Entry'!$C$16)-1),1,1)</f>
        <v>0.022801520101340088</v>
      </c>
      <c r="G25" s="753">
        <f t="shared" si="0"/>
        <v>0.3800253350223348</v>
      </c>
      <c r="H25" s="754"/>
      <c r="I25" s="754"/>
      <c r="J25" s="754"/>
      <c r="K25" s="755"/>
      <c r="L25" s="756" t="s">
        <v>460</v>
      </c>
      <c r="M25" s="756"/>
      <c r="N25" s="756"/>
      <c r="O25" s="756"/>
      <c r="P25" s="756"/>
      <c r="Q25" s="756"/>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43.5" customHeight="1">
      <c r="A26" s="3"/>
      <c r="B26" s="760" t="str">
        <f>+'Data Entry'!B130</f>
        <v>MDR TB-1: Percentage of previously treated TB patients receiving DST (bacteriologically positive cases only)</v>
      </c>
      <c r="C26" s="760"/>
      <c r="D26" s="760"/>
      <c r="E26" s="147">
        <f ca="1">OFFSET('Data Entry'!$G$117,13,RIGHT('Data Entry'!$C$16,LEN('Data Entry'!$C$16)-1),1,1)</f>
        <v>0.5</v>
      </c>
      <c r="F26" s="147">
        <f ca="1">OFFSET('Data Entry'!$G$117,14,RIGHT('Data Entry'!$C$16,LEN('Data Entry'!$C$16)-1),1,1)</f>
        <v>0.6367521367521367</v>
      </c>
      <c r="G26" s="753">
        <f t="shared" si="0"/>
        <v>1.2735042735042734</v>
      </c>
      <c r="H26" s="754"/>
      <c r="I26" s="754"/>
      <c r="J26" s="754"/>
      <c r="K26" s="755"/>
      <c r="L26" s="756" t="s">
        <v>446</v>
      </c>
      <c r="M26" s="756"/>
      <c r="N26" s="756"/>
      <c r="O26" s="756"/>
      <c r="P26" s="756"/>
      <c r="Q26" s="756"/>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48.75" customHeight="1">
      <c r="A27" s="3"/>
      <c r="B27" s="760" t="str">
        <f>+'Data Entry'!B132</f>
        <v>MDR TB-2: Number of bacteriologically confirmed, drug resistant TB cases (RR-TB and/or MDR-TB) notified</v>
      </c>
      <c r="C27" s="760"/>
      <c r="D27" s="760"/>
      <c r="E27" s="147">
        <f ca="1">OFFSET('Data Entry'!$G$117,15,RIGHT('Data Entry'!$C$16,LEN('Data Entry'!$C$16)-1),1,1)</f>
        <v>137</v>
      </c>
      <c r="F27" s="147">
        <f ca="1">OFFSET('Data Entry'!$G$117,16,RIGHT('Data Entry'!$C$16,LEN('Data Entry'!$C$16)-1),1,1)</f>
        <v>62</v>
      </c>
      <c r="G27" s="753">
        <f t="shared" si="0"/>
        <v>0.45255474452554745</v>
      </c>
      <c r="H27" s="754"/>
      <c r="I27" s="754"/>
      <c r="J27" s="754"/>
      <c r="K27" s="755"/>
      <c r="L27" s="756" t="s">
        <v>448</v>
      </c>
      <c r="M27" s="756"/>
      <c r="N27" s="756"/>
      <c r="O27" s="756"/>
      <c r="P27" s="756"/>
      <c r="Q27" s="756"/>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51.75" customHeight="1">
      <c r="A28" s="3"/>
      <c r="B28" s="760" t="str">
        <f>+'Data Entry'!B134</f>
        <v>MDR TB-3: Number of cases with drug resistant TB (RR-TB and/or MDR-TB) that began second-line treatment</v>
      </c>
      <c r="C28" s="760"/>
      <c r="D28" s="760"/>
      <c r="E28" s="147">
        <f ca="1">OFFSET('Data Entry'!$G$117,17,RIGHT('Data Entry'!$C$16,LEN('Data Entry'!$C$16)-1),1,1)</f>
        <v>62</v>
      </c>
      <c r="F28" s="147">
        <f ca="1">OFFSET('Data Entry'!$G$117,18,RIGHT('Data Entry'!$C$16,LEN('Data Entry'!$C$16)-1),1,1)</f>
        <v>60</v>
      </c>
      <c r="G28" s="753">
        <f t="shared" si="0"/>
        <v>0.967741935483871</v>
      </c>
      <c r="H28" s="754"/>
      <c r="I28" s="754"/>
      <c r="J28" s="754"/>
      <c r="K28" s="755"/>
      <c r="L28" s="756" t="s">
        <v>461</v>
      </c>
      <c r="M28" s="756"/>
      <c r="N28" s="756"/>
      <c r="O28" s="756"/>
      <c r="P28" s="756"/>
      <c r="Q28" s="756"/>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46.5" customHeight="1">
      <c r="A29" s="3"/>
      <c r="B29" s="768" t="str">
        <f>+'Data Entry'!B136</f>
        <v>TB/HIV-1: Percentage of TB patients who had an HIV test result recorded in the TB register</v>
      </c>
      <c r="C29" s="769"/>
      <c r="D29" s="770"/>
      <c r="E29" s="147">
        <f ca="1">OFFSET('Data Entry'!$G$117,19,RIGHT('Data Entry'!$C$16,LEN('Data Entry'!$C$16)-1),1,1)</f>
        <v>0.75</v>
      </c>
      <c r="F29" s="147">
        <f ca="1">OFFSET('Data Entry'!$G$117,20,RIGHT('Data Entry'!$C$16,LEN('Data Entry'!$C$16)-1),1,1)</f>
        <v>0.8031025451615069</v>
      </c>
      <c r="G29" s="753">
        <f t="shared" si="0"/>
        <v>1.0708033935486758</v>
      </c>
      <c r="H29" s="754"/>
      <c r="I29" s="754"/>
      <c r="J29" s="754"/>
      <c r="K29" s="755"/>
      <c r="L29" s="756" t="s">
        <v>456</v>
      </c>
      <c r="M29" s="756"/>
      <c r="N29" s="756"/>
      <c r="O29" s="756"/>
      <c r="P29" s="756"/>
      <c r="Q29" s="756"/>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780"/>
      <c r="C30" s="780"/>
      <c r="D30" s="780"/>
      <c r="E30" s="780"/>
      <c r="F30" s="779"/>
      <c r="G30" s="779"/>
      <c r="H30" s="779"/>
      <c r="I30" s="779"/>
      <c r="J30" s="779"/>
      <c r="K30" s="779"/>
      <c r="L30" s="776"/>
      <c r="M30" s="776"/>
      <c r="N30" s="776"/>
      <c r="O30" s="776"/>
      <c r="P30" s="776"/>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777"/>
      <c r="C31" s="777"/>
      <c r="D31" s="777"/>
      <c r="E31" s="778"/>
      <c r="F31" s="771"/>
      <c r="G31" s="772"/>
      <c r="H31" s="772"/>
      <c r="I31" s="772"/>
      <c r="J31" s="772"/>
      <c r="K31" s="778"/>
      <c r="L31" s="771"/>
      <c r="M31" s="772"/>
      <c r="N31" s="772"/>
      <c r="O31" s="772"/>
      <c r="P31" s="772"/>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ht="15">
      <c r="A32" s="3"/>
      <c r="B32" s="230"/>
      <c r="C32" s="230"/>
      <c r="D32" s="230"/>
      <c r="E32" s="230"/>
      <c r="F32" s="230"/>
      <c r="G32" s="230"/>
      <c r="H32" s="231"/>
      <c r="I32" s="230"/>
      <c r="J32" s="230"/>
      <c r="K32" s="230"/>
      <c r="L32" s="230"/>
      <c r="M32" s="230"/>
      <c r="N32" s="230"/>
      <c r="O32" s="230"/>
      <c r="P32" s="230"/>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ht="15">
      <c r="A33" s="3"/>
      <c r="B33" s="767"/>
      <c r="C33" s="767"/>
      <c r="D33" s="767"/>
      <c r="E33" s="767"/>
      <c r="F33" s="767"/>
      <c r="G33" s="767"/>
      <c r="H33" s="767"/>
      <c r="I33" s="767"/>
      <c r="J33" s="767"/>
      <c r="K33" s="767"/>
      <c r="L33" s="230"/>
      <c r="M33" s="230"/>
      <c r="N33" s="230"/>
      <c r="O33" s="230"/>
      <c r="P33" s="230"/>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ht="15">
      <c r="A34" s="3"/>
      <c r="B34" s="767"/>
      <c r="C34" s="767"/>
      <c r="D34" s="767"/>
      <c r="E34" s="767"/>
      <c r="F34" s="767"/>
      <c r="G34" s="767"/>
      <c r="H34" s="767"/>
      <c r="I34" s="767"/>
      <c r="J34" s="767"/>
      <c r="K34" s="767"/>
      <c r="L34" s="230"/>
      <c r="M34" s="230"/>
      <c r="N34" s="230"/>
      <c r="O34" s="230"/>
      <c r="P34" s="230"/>
      <c r="S34" s="71"/>
      <c r="T34" s="71"/>
      <c r="U34" s="71"/>
      <c r="V34" s="71"/>
      <c r="W34" s="71"/>
      <c r="X34" s="71"/>
      <c r="Y34" s="71"/>
      <c r="Z34" s="71"/>
      <c r="AA34" s="71"/>
      <c r="AB34" s="71"/>
      <c r="AC34" s="71"/>
      <c r="AD34" s="71"/>
      <c r="AE34" s="71"/>
      <c r="AF34" s="71"/>
      <c r="AG34" s="71"/>
      <c r="AH34" s="71"/>
      <c r="AI34" s="71"/>
    </row>
    <row r="35" spans="1:35" ht="1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ht="15">
      <c r="A36" s="3"/>
      <c r="B36" s="3"/>
      <c r="C36" s="3"/>
      <c r="D36" s="3"/>
      <c r="E36" s="3"/>
      <c r="F36" s="3"/>
      <c r="G36" s="3"/>
      <c r="H36" s="3"/>
      <c r="I36" s="148"/>
      <c r="J36" s="149"/>
      <c r="K36" s="149"/>
      <c r="L36" s="3"/>
      <c r="M36" s="3"/>
      <c r="N36" s="3"/>
      <c r="O36" s="3"/>
      <c r="P36" s="3"/>
      <c r="S36" s="71"/>
      <c r="T36" s="71"/>
      <c r="U36" s="71"/>
      <c r="V36" s="71"/>
      <c r="W36" s="71"/>
      <c r="X36" s="71"/>
      <c r="Y36" s="71"/>
      <c r="Z36" s="71"/>
      <c r="AA36" s="71"/>
      <c r="AB36" s="71"/>
      <c r="AC36" s="71"/>
      <c r="AD36" s="71"/>
      <c r="AE36" s="71"/>
      <c r="AF36" s="71"/>
      <c r="AG36" s="71"/>
      <c r="AH36" s="71"/>
      <c r="AI36" s="71"/>
    </row>
    <row r="37" spans="1:35" ht="15">
      <c r="A37" s="3"/>
      <c r="B37" s="3"/>
      <c r="C37" s="3"/>
      <c r="D37" s="3"/>
      <c r="E37" s="3"/>
      <c r="F37" s="3"/>
      <c r="G37" s="3"/>
      <c r="H37" s="3"/>
      <c r="I37" s="150"/>
      <c r="J37" s="151"/>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ht="15">
      <c r="A38" s="3"/>
      <c r="B38" s="3"/>
      <c r="C38" s="3"/>
      <c r="D38" s="3"/>
      <c r="E38" s="3"/>
      <c r="F38" s="3"/>
      <c r="G38" s="3"/>
      <c r="H38" s="3"/>
      <c r="I38" s="152"/>
      <c r="J38" s="151"/>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ht="15">
      <c r="A39" s="3"/>
      <c r="B39" s="3"/>
      <c r="C39" s="3"/>
      <c r="D39" s="3"/>
      <c r="E39" s="3"/>
      <c r="F39" s="3"/>
      <c r="G39" s="3"/>
      <c r="H39" s="3"/>
      <c r="I39" s="150"/>
      <c r="J39" s="151"/>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ht="1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ht="1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28" ht="1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9:28" ht="15">
      <c r="S43" s="64"/>
      <c r="T43" s="64"/>
      <c r="U43" s="64"/>
      <c r="V43" s="64"/>
      <c r="W43" s="64"/>
      <c r="X43" s="64"/>
      <c r="Y43" s="64"/>
      <c r="Z43" s="64"/>
      <c r="AA43" s="64"/>
      <c r="AB43" s="64"/>
    </row>
    <row r="44" spans="19:28" ht="15">
      <c r="S44" s="64"/>
      <c r="T44" s="64"/>
      <c r="U44" s="64"/>
      <c r="V44" s="64"/>
      <c r="W44" s="64"/>
      <c r="X44" s="64"/>
      <c r="Y44" s="64"/>
      <c r="Z44" s="64"/>
      <c r="AA44" s="64"/>
      <c r="AB44" s="64"/>
    </row>
    <row r="45" spans="19:28" ht="15">
      <c r="S45" s="64"/>
      <c r="T45" s="64"/>
      <c r="U45" s="64"/>
      <c r="V45" s="64"/>
      <c r="W45" s="64"/>
      <c r="X45" s="64"/>
      <c r="Y45" s="64"/>
      <c r="Z45" s="64"/>
      <c r="AA45" s="64"/>
      <c r="AB45" s="64"/>
    </row>
    <row r="46" spans="19:28" ht="15">
      <c r="S46" s="64"/>
      <c r="T46" s="64"/>
      <c r="U46" s="64"/>
      <c r="V46" s="64"/>
      <c r="W46" s="64"/>
      <c r="X46" s="64"/>
      <c r="Y46" s="64"/>
      <c r="Z46" s="64"/>
      <c r="AA46" s="64"/>
      <c r="AB46" s="64"/>
    </row>
  </sheetData>
  <sheetProtection/>
  <mergeCells count="58">
    <mergeCell ref="C9:E9"/>
    <mergeCell ref="G9:K9"/>
    <mergeCell ref="M9:Q9"/>
    <mergeCell ref="C3:D3"/>
    <mergeCell ref="E4:L4"/>
    <mergeCell ref="B8:E8"/>
    <mergeCell ref="F8:K8"/>
    <mergeCell ref="B31:E31"/>
    <mergeCell ref="F31:K31"/>
    <mergeCell ref="B21:D21"/>
    <mergeCell ref="G28:K28"/>
    <mergeCell ref="G29:K29"/>
    <mergeCell ref="F30:K30"/>
    <mergeCell ref="B30:E30"/>
    <mergeCell ref="B27:D27"/>
    <mergeCell ref="B28:D28"/>
    <mergeCell ref="B29:D29"/>
    <mergeCell ref="L31:P31"/>
    <mergeCell ref="L20:Q20"/>
    <mergeCell ref="L21:Q21"/>
    <mergeCell ref="L22:Q22"/>
    <mergeCell ref="L28:Q28"/>
    <mergeCell ref="L30:P30"/>
    <mergeCell ref="L23:Q23"/>
    <mergeCell ref="L24:Q24"/>
    <mergeCell ref="B33:D34"/>
    <mergeCell ref="E33:G34"/>
    <mergeCell ref="H33:K34"/>
    <mergeCell ref="B23:D23"/>
    <mergeCell ref="B24:D24"/>
    <mergeCell ref="B25:D25"/>
    <mergeCell ref="B26:D26"/>
    <mergeCell ref="G23:K23"/>
    <mergeCell ref="G24:K24"/>
    <mergeCell ref="G25:K25"/>
    <mergeCell ref="B22:D22"/>
    <mergeCell ref="G19:H19"/>
    <mergeCell ref="I19:J19"/>
    <mergeCell ref="E18:K18"/>
    <mergeCell ref="B19:D19"/>
    <mergeCell ref="B20:D20"/>
    <mergeCell ref="G26:K26"/>
    <mergeCell ref="G27:K27"/>
    <mergeCell ref="L29:Q29"/>
    <mergeCell ref="L19:Q19"/>
    <mergeCell ref="L25:Q25"/>
    <mergeCell ref="L26:Q26"/>
    <mergeCell ref="L27:Q27"/>
    <mergeCell ref="G20:K20"/>
    <mergeCell ref="G21:K21"/>
    <mergeCell ref="G22:K22"/>
    <mergeCell ref="B2:Q2"/>
    <mergeCell ref="O3:P3"/>
    <mergeCell ref="D5:N5"/>
    <mergeCell ref="L8:Q8"/>
    <mergeCell ref="F6:K6"/>
    <mergeCell ref="E3:K3"/>
    <mergeCell ref="C4:D4"/>
  </mergeCells>
  <conditionalFormatting sqref="C4:D4">
    <cfRule type="cellIs" priority="50" dxfId="51" operator="equal" stopIfTrue="1">
      <formula>"C"</formula>
    </cfRule>
    <cfRule type="cellIs" priority="51" dxfId="48" operator="equal" stopIfTrue="1">
      <formula>"B2"</formula>
    </cfRule>
    <cfRule type="cellIs" priority="52" dxfId="49" operator="equal" stopIfTrue="1">
      <formula>"B1"</formula>
    </cfRule>
  </conditionalFormatting>
  <conditionalFormatting sqref="G20:G29">
    <cfRule type="cellIs" priority="56" dxfId="57" operator="between" stopIfTrue="1">
      <formula>0</formula>
      <formula>0.599</formula>
    </cfRule>
    <cfRule type="cellIs" priority="57" dxfId="56" operator="between" stopIfTrue="1">
      <formula>0.6</formula>
      <formula>0.899</formula>
    </cfRule>
    <cfRule type="cellIs" priority="58" dxfId="58" operator="greaterThanOrEqual" stopIfTrue="1">
      <formula>0.9</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7" r:id="rId2"/>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O42"/>
  <sheetViews>
    <sheetView showGridLines="0" zoomScale="90" zoomScaleNormal="90" zoomScalePageLayoutView="0" workbookViewId="0" topLeftCell="A19">
      <selection activeCell="Q12" sqref="Q12"/>
    </sheetView>
  </sheetViews>
  <sheetFormatPr defaultColWidth="9.140625" defaultRowHeight="15"/>
  <cols>
    <col min="1" max="1" width="1.1484375" style="31" customWidth="1"/>
    <col min="2" max="2" width="19.28125" style="31" customWidth="1"/>
    <col min="3" max="3" width="1.1484375" style="31" customWidth="1"/>
    <col min="4" max="4" width="17.140625" style="31" customWidth="1"/>
    <col min="5" max="5" width="17.57421875" style="31" customWidth="1"/>
    <col min="6" max="6" width="9.7109375" style="31" customWidth="1"/>
    <col min="7" max="7" width="13.00390625" style="31" customWidth="1"/>
    <col min="8" max="8" width="4.28125" style="31" customWidth="1"/>
    <col min="9" max="9" width="15.8515625" style="31" customWidth="1"/>
    <col min="10" max="10" width="3.57421875" style="31" customWidth="1"/>
    <col min="11" max="11" width="7.57421875" style="32" customWidth="1"/>
    <col min="12" max="12" width="14.28125" style="31" customWidth="1"/>
    <col min="13" max="13" width="12.00390625" style="31" customWidth="1"/>
    <col min="14" max="14" width="5.421875" style="31" customWidth="1"/>
    <col min="15" max="15" width="2.57421875" style="31" customWidth="1"/>
    <col min="16" max="16384" width="9.140625" style="31" customWidth="1"/>
  </cols>
  <sheetData>
    <row r="1" spans="1:14" ht="38.25" customHeight="1">
      <c r="A1" s="154"/>
      <c r="B1" s="154"/>
      <c r="C1" s="154"/>
      <c r="D1" s="154"/>
      <c r="E1" s="154"/>
      <c r="F1" s="154"/>
      <c r="G1" s="154"/>
      <c r="H1" s="154"/>
      <c r="I1" s="154"/>
      <c r="J1" s="154"/>
      <c r="K1" s="155"/>
      <c r="L1" s="154"/>
      <c r="M1" s="154"/>
      <c r="N1" s="154"/>
    </row>
    <row r="2" spans="1:15" ht="27.75" customHeight="1">
      <c r="A2" s="3"/>
      <c r="B2" s="748" t="str">
        <f>+"Dashboard:  "&amp;"  "&amp;IF(+'Data Entry'!C4="Please Select","",'Data Entry'!C4&amp;" - ")&amp;IF('Data Entry'!G6="Please Select","",'Data Entry'!G6)</f>
        <v>Dashboard:    Ghana - TB</v>
      </c>
      <c r="C2" s="748"/>
      <c r="D2" s="748"/>
      <c r="E2" s="748"/>
      <c r="F2" s="748"/>
      <c r="G2" s="748"/>
      <c r="H2" s="748"/>
      <c r="I2" s="748"/>
      <c r="J2" s="748"/>
      <c r="K2" s="748"/>
      <c r="L2" s="748"/>
      <c r="M2" s="748"/>
      <c r="N2" s="748"/>
      <c r="O2" s="73"/>
    </row>
    <row r="3" spans="1:14" ht="18.75">
      <c r="A3" s="3"/>
      <c r="B3" s="135">
        <f>+IF('Data Entry'!G8="Please Select","",'Data Entry'!G8)</f>
        <v>0</v>
      </c>
      <c r="C3" s="721">
        <f>+IF('Data Entry'!I8="Please Select","",'Data Entry'!I8)</f>
        <v>0</v>
      </c>
      <c r="D3" s="721"/>
      <c r="E3" s="751"/>
      <c r="F3" s="751"/>
      <c r="G3" s="751"/>
      <c r="H3" s="751"/>
      <c r="I3" s="751"/>
      <c r="J3" s="751"/>
      <c r="K3" s="751"/>
      <c r="L3" s="135" t="str">
        <f>+'Data Entry'!B16</f>
        <v>Report Period:</v>
      </c>
      <c r="M3" s="202" t="str">
        <f>+'Data Entry'!C16</f>
        <v>P2</v>
      </c>
      <c r="N3" s="202"/>
    </row>
    <row r="4" spans="1:14" ht="15">
      <c r="A4" s="3"/>
      <c r="B4" s="135" t="str">
        <f>+'Data Entry'!B12</f>
        <v>Latest Rating:</v>
      </c>
      <c r="C4" s="752">
        <f>+IF('Data Entry'!C12="Please Select","",'Data Entry'!C12)</f>
        <v>0</v>
      </c>
      <c r="D4" s="752"/>
      <c r="E4" s="720" t="str">
        <f>+'Data Entry'!C8</f>
        <v>Ministry of Health / Ghana Health Services</v>
      </c>
      <c r="F4" s="720"/>
      <c r="G4" s="720"/>
      <c r="H4" s="720"/>
      <c r="I4" s="720"/>
      <c r="J4" s="720"/>
      <c r="K4" s="720"/>
      <c r="L4" s="135" t="str">
        <f>+'Data Entry'!D16</f>
        <v>From:</v>
      </c>
      <c r="M4" s="203">
        <f>+IF(ISBLANK('Data Entry'!E16),"",'Data Entry'!E16)</f>
        <v>42278</v>
      </c>
      <c r="N4" s="203"/>
    </row>
    <row r="5" spans="1:14" ht="18.75" customHeight="1">
      <c r="A5" s="3"/>
      <c r="B5" s="135"/>
      <c r="C5" s="135"/>
      <c r="D5" s="136"/>
      <c r="E5" s="720" t="str">
        <f>+'Data Entry'!G4</f>
        <v>Accelerating access to prevention and treatment of TB towards attaining the MDGs</v>
      </c>
      <c r="F5" s="720"/>
      <c r="G5" s="720"/>
      <c r="H5" s="720"/>
      <c r="I5" s="720"/>
      <c r="J5" s="720"/>
      <c r="K5" s="720"/>
      <c r="L5" s="135" t="str">
        <f>+'Data Entry'!F16</f>
        <v>To:</v>
      </c>
      <c r="M5" s="203">
        <f>+IF(ISBLANK('Data Entry'!G16),"",'Data Entry'!G16)</f>
        <v>42369</v>
      </c>
      <c r="N5" s="203"/>
    </row>
    <row r="6" spans="1:14" ht="22.5" customHeight="1">
      <c r="A6" s="3"/>
      <c r="B6" s="140"/>
      <c r="C6" s="141"/>
      <c r="D6" s="142"/>
      <c r="E6" s="814" t="s">
        <v>315</v>
      </c>
      <c r="F6" s="814"/>
      <c r="G6" s="814"/>
      <c r="H6" s="814"/>
      <c r="I6" s="814"/>
      <c r="J6" s="814"/>
      <c r="K6" s="814"/>
      <c r="L6" s="2"/>
      <c r="M6" s="2"/>
      <c r="N6" s="2"/>
    </row>
    <row r="7" spans="1:14" s="33" customFormat="1" ht="4.5" customHeight="1">
      <c r="A7" s="156"/>
      <c r="B7" s="157"/>
      <c r="C7" s="157"/>
      <c r="D7" s="157"/>
      <c r="E7" s="157"/>
      <c r="F7" s="157"/>
      <c r="G7" s="157"/>
      <c r="H7" s="157"/>
      <c r="I7" s="157"/>
      <c r="J7" s="157"/>
      <c r="K7" s="157"/>
      <c r="L7" s="158"/>
      <c r="M7" s="158"/>
      <c r="N7" s="159"/>
    </row>
    <row r="8" spans="1:14" s="33" customFormat="1" ht="21" customHeight="1" thickBot="1">
      <c r="A8" s="156"/>
      <c r="B8" s="792" t="s">
        <v>99</v>
      </c>
      <c r="C8" s="792"/>
      <c r="D8" s="792"/>
      <c r="E8" s="792"/>
      <c r="F8" s="792"/>
      <c r="G8" s="792"/>
      <c r="H8" s="792"/>
      <c r="I8" s="792"/>
      <c r="J8" s="792"/>
      <c r="K8" s="792"/>
      <c r="L8" s="792"/>
      <c r="M8" s="792"/>
      <c r="N8" s="792"/>
    </row>
    <row r="9" spans="1:14" s="33" customFormat="1" ht="3.75" customHeight="1" thickBot="1">
      <c r="A9" s="156"/>
      <c r="B9" s="157"/>
      <c r="C9" s="157"/>
      <c r="D9" s="157"/>
      <c r="E9" s="157"/>
      <c r="F9" s="157"/>
      <c r="G9" s="157"/>
      <c r="H9" s="157"/>
      <c r="I9" s="157"/>
      <c r="J9" s="157"/>
      <c r="K9" s="157"/>
      <c r="L9" s="158"/>
      <c r="M9" s="158"/>
      <c r="N9" s="159"/>
    </row>
    <row r="10" spans="1:14" s="34" customFormat="1" ht="25.5" customHeight="1" thickBot="1">
      <c r="A10" s="160"/>
      <c r="B10" s="813" t="s">
        <v>94</v>
      </c>
      <c r="C10" s="805"/>
      <c r="D10" s="793" t="s">
        <v>98</v>
      </c>
      <c r="E10" s="794"/>
      <c r="F10" s="794"/>
      <c r="G10" s="795"/>
      <c r="H10" s="163"/>
      <c r="I10" s="793" t="s">
        <v>315</v>
      </c>
      <c r="J10" s="794"/>
      <c r="K10" s="794"/>
      <c r="L10" s="794"/>
      <c r="M10" s="794"/>
      <c r="N10" s="795"/>
    </row>
    <row r="11" spans="1:14" s="34" customFormat="1" ht="28.5" customHeight="1">
      <c r="A11" s="160"/>
      <c r="B11" s="442" t="s">
        <v>102</v>
      </c>
      <c r="C11" s="180"/>
      <c r="D11" s="817">
        <f>IF(ISBLANK(Finance!C9),"",(Finance!C9))</f>
      </c>
      <c r="E11" s="817"/>
      <c r="F11" s="817"/>
      <c r="G11" s="818"/>
      <c r="H11" s="186"/>
      <c r="I11" s="819"/>
      <c r="J11" s="820"/>
      <c r="K11" s="820"/>
      <c r="L11" s="820"/>
      <c r="M11" s="820"/>
      <c r="N11" s="821"/>
    </row>
    <row r="12" spans="1:14" s="34" customFormat="1" ht="27.75" customHeight="1">
      <c r="A12" s="160"/>
      <c r="B12" s="443" t="s">
        <v>103</v>
      </c>
      <c r="C12" s="181"/>
      <c r="D12" s="817">
        <f>IF(ISBLANK(Finance!C23),"",(Finance!C23))</f>
      </c>
      <c r="E12" s="817"/>
      <c r="F12" s="817"/>
      <c r="G12" s="818"/>
      <c r="H12" s="186"/>
      <c r="I12" s="807"/>
      <c r="J12" s="808"/>
      <c r="K12" s="808"/>
      <c r="L12" s="808"/>
      <c r="M12" s="808"/>
      <c r="N12" s="809"/>
    </row>
    <row r="13" spans="1:14" s="34" customFormat="1" ht="26.25" customHeight="1">
      <c r="A13" s="160"/>
      <c r="B13" s="443" t="s">
        <v>104</v>
      </c>
      <c r="C13" s="181"/>
      <c r="D13" s="817">
        <f>IF(ISBLANK(Finance!I9),"",(Finance!I9))</f>
      </c>
      <c r="E13" s="817"/>
      <c r="F13" s="817"/>
      <c r="G13" s="818"/>
      <c r="H13" s="186"/>
      <c r="I13" s="807"/>
      <c r="J13" s="808"/>
      <c r="K13" s="808"/>
      <c r="L13" s="808"/>
      <c r="M13" s="808"/>
      <c r="N13" s="809"/>
    </row>
    <row r="14" spans="1:14" s="34" customFormat="1" ht="28.5" customHeight="1" thickBot="1">
      <c r="A14" s="160"/>
      <c r="B14" s="444" t="s">
        <v>105</v>
      </c>
      <c r="C14" s="182"/>
      <c r="D14" s="815">
        <f>IF(ISBLANK(Finance!I23),"",(Finance!I23))</f>
      </c>
      <c r="E14" s="815"/>
      <c r="F14" s="815"/>
      <c r="G14" s="816"/>
      <c r="H14" s="186"/>
      <c r="I14" s="810"/>
      <c r="J14" s="811"/>
      <c r="K14" s="811"/>
      <c r="L14" s="811"/>
      <c r="M14" s="811"/>
      <c r="N14" s="812"/>
    </row>
    <row r="15" spans="1:15" s="34" customFormat="1" ht="4.5" customHeight="1">
      <c r="A15" s="160"/>
      <c r="B15" s="183"/>
      <c r="C15" s="184"/>
      <c r="D15" s="185"/>
      <c r="E15" s="185"/>
      <c r="F15" s="185"/>
      <c r="G15" s="185"/>
      <c r="H15" s="186"/>
      <c r="I15" s="187"/>
      <c r="J15" s="187"/>
      <c r="K15" s="187"/>
      <c r="L15" s="187"/>
      <c r="M15" s="187"/>
      <c r="N15" s="187"/>
      <c r="O15" s="75"/>
    </row>
    <row r="16" spans="1:14" s="33" customFormat="1" ht="21" customHeight="1" thickBot="1">
      <c r="A16" s="156"/>
      <c r="B16" s="792" t="s">
        <v>101</v>
      </c>
      <c r="C16" s="792"/>
      <c r="D16" s="792"/>
      <c r="E16" s="792"/>
      <c r="F16" s="792"/>
      <c r="G16" s="792"/>
      <c r="H16" s="792"/>
      <c r="I16" s="792"/>
      <c r="J16" s="792"/>
      <c r="K16" s="792"/>
      <c r="L16" s="792"/>
      <c r="M16" s="792"/>
      <c r="N16" s="792"/>
    </row>
    <row r="17" spans="1:14" s="34" customFormat="1" ht="3.75" customHeight="1" thickBot="1">
      <c r="A17" s="160"/>
      <c r="B17" s="169"/>
      <c r="C17" s="170"/>
      <c r="D17" s="171"/>
      <c r="E17" s="172"/>
      <c r="F17" s="173"/>
      <c r="G17" s="173"/>
      <c r="H17" s="174"/>
      <c r="I17" s="175"/>
      <c r="J17" s="176"/>
      <c r="K17" s="165"/>
      <c r="L17" s="166"/>
      <c r="M17" s="167"/>
      <c r="N17" s="168"/>
    </row>
    <row r="18" spans="1:14" s="34" customFormat="1" ht="22.5" customHeight="1" thickBot="1">
      <c r="A18" s="160"/>
      <c r="B18" s="805" t="s">
        <v>95</v>
      </c>
      <c r="C18" s="806"/>
      <c r="D18" s="832" t="s">
        <v>98</v>
      </c>
      <c r="E18" s="833"/>
      <c r="F18" s="833"/>
      <c r="G18" s="834"/>
      <c r="H18" s="163"/>
      <c r="I18" s="829" t="s">
        <v>315</v>
      </c>
      <c r="J18" s="830"/>
      <c r="K18" s="830"/>
      <c r="L18" s="830"/>
      <c r="M18" s="831"/>
      <c r="N18" s="831"/>
    </row>
    <row r="19" spans="1:14" s="34" customFormat="1" ht="21.75" customHeight="1">
      <c r="A19" s="160"/>
      <c r="B19" s="445" t="s">
        <v>110</v>
      </c>
      <c r="C19" s="188"/>
      <c r="D19" s="835">
        <f>IF(ISBLANK(Management!C8),"",(Management!C8))</f>
      </c>
      <c r="E19" s="835"/>
      <c r="F19" s="835"/>
      <c r="G19" s="836"/>
      <c r="H19" s="189"/>
      <c r="I19" s="796"/>
      <c r="J19" s="797"/>
      <c r="K19" s="797"/>
      <c r="L19" s="797"/>
      <c r="M19" s="797"/>
      <c r="N19" s="798"/>
    </row>
    <row r="20" spans="1:15" ht="24.75" customHeight="1">
      <c r="A20" s="154"/>
      <c r="B20" s="446" t="s">
        <v>111</v>
      </c>
      <c r="C20" s="190"/>
      <c r="D20" s="817">
        <f>IF(ISBLANK(Management!I8),"",(Management!I8))</f>
      </c>
      <c r="E20" s="817" t="e">
        <f>+'Data Entry'!D73/'Data Entry'!G73</f>
        <v>#DIV/0!</v>
      </c>
      <c r="F20" s="817" t="e">
        <f>+('Data Entry'!E73+'Data Entry'!F73)/'Data Entry'!G73</f>
        <v>#DIV/0!</v>
      </c>
      <c r="G20" s="828"/>
      <c r="H20" s="189"/>
      <c r="I20" s="802"/>
      <c r="J20" s="803"/>
      <c r="K20" s="803"/>
      <c r="L20" s="803"/>
      <c r="M20" s="803"/>
      <c r="N20" s="804"/>
      <c r="O20" s="35"/>
    </row>
    <row r="21" spans="1:15" ht="29.25" customHeight="1">
      <c r="A21" s="154"/>
      <c r="B21" s="447" t="s">
        <v>112</v>
      </c>
      <c r="C21" s="190"/>
      <c r="D21" s="817">
        <f>IF(ISBLANK(Management!C16),"",(Management!C16))</f>
      </c>
      <c r="E21" s="817"/>
      <c r="F21" s="817"/>
      <c r="G21" s="828"/>
      <c r="H21" s="189"/>
      <c r="I21" s="802"/>
      <c r="J21" s="803"/>
      <c r="K21" s="803"/>
      <c r="L21" s="803"/>
      <c r="M21" s="803"/>
      <c r="N21" s="804"/>
      <c r="O21" s="35"/>
    </row>
    <row r="22" spans="1:15" ht="26.25" customHeight="1">
      <c r="A22" s="154"/>
      <c r="B22" s="447" t="s">
        <v>113</v>
      </c>
      <c r="C22" s="190"/>
      <c r="D22" s="817">
        <f>IF(ISBLANK(Management!I16),"",(Management!I16))</f>
      </c>
      <c r="E22" s="817"/>
      <c r="F22" s="817"/>
      <c r="G22" s="828"/>
      <c r="H22" s="189"/>
      <c r="I22" s="802"/>
      <c r="J22" s="803"/>
      <c r="K22" s="803"/>
      <c r="L22" s="803"/>
      <c r="M22" s="803"/>
      <c r="N22" s="804"/>
      <c r="O22" s="35"/>
    </row>
    <row r="23" spans="1:15" ht="24.75" customHeight="1">
      <c r="A23" s="154"/>
      <c r="B23" s="447" t="s">
        <v>114</v>
      </c>
      <c r="C23" s="190"/>
      <c r="D23" s="817">
        <f>IF(ISBLANK(Management!C27),"",(Management!C27))</f>
      </c>
      <c r="E23" s="817"/>
      <c r="F23" s="817"/>
      <c r="G23" s="828"/>
      <c r="H23" s="189"/>
      <c r="I23" s="802"/>
      <c r="J23" s="803"/>
      <c r="K23" s="803"/>
      <c r="L23" s="803"/>
      <c r="M23" s="803"/>
      <c r="N23" s="804"/>
      <c r="O23" s="35"/>
    </row>
    <row r="24" spans="1:15" ht="27" customHeight="1" thickBot="1">
      <c r="A24" s="154"/>
      <c r="B24" s="448" t="s">
        <v>115</v>
      </c>
      <c r="C24" s="191"/>
      <c r="D24" s="838">
        <f>IF(ISBLANK(Management!I27),"",(Management!I27))</f>
      </c>
      <c r="E24" s="838"/>
      <c r="F24" s="838"/>
      <c r="G24" s="839"/>
      <c r="H24" s="189"/>
      <c r="I24" s="799"/>
      <c r="J24" s="800"/>
      <c r="K24" s="800"/>
      <c r="L24" s="800"/>
      <c r="M24" s="800"/>
      <c r="N24" s="801"/>
      <c r="O24" s="35"/>
    </row>
    <row r="25" spans="1:15" ht="4.5" customHeight="1">
      <c r="A25" s="156"/>
      <c r="B25" s="161"/>
      <c r="C25" s="162"/>
      <c r="D25" s="177"/>
      <c r="E25" s="178"/>
      <c r="F25" s="179"/>
      <c r="G25" s="179"/>
      <c r="H25" s="163"/>
      <c r="I25" s="178"/>
      <c r="J25" s="164"/>
      <c r="K25" s="165"/>
      <c r="L25" s="166"/>
      <c r="M25" s="167"/>
      <c r="N25" s="168"/>
      <c r="O25" s="35"/>
    </row>
    <row r="26" spans="1:14" s="33" customFormat="1" ht="21" customHeight="1" thickBot="1">
      <c r="A26" s="156"/>
      <c r="B26" s="792" t="s">
        <v>100</v>
      </c>
      <c r="C26" s="792"/>
      <c r="D26" s="792"/>
      <c r="E26" s="792"/>
      <c r="F26" s="792"/>
      <c r="G26" s="792"/>
      <c r="H26" s="792"/>
      <c r="I26" s="792"/>
      <c r="J26" s="792"/>
      <c r="K26" s="792"/>
      <c r="L26" s="792"/>
      <c r="M26" s="792"/>
      <c r="N26" s="792"/>
    </row>
    <row r="27" spans="1:15" ht="3.75" customHeight="1" thickBot="1">
      <c r="A27" s="156"/>
      <c r="B27" s="161"/>
      <c r="C27" s="162"/>
      <c r="D27" s="177"/>
      <c r="E27" s="178"/>
      <c r="F27" s="179"/>
      <c r="G27" s="179"/>
      <c r="H27" s="163"/>
      <c r="I27" s="178"/>
      <c r="J27" s="164"/>
      <c r="K27" s="165"/>
      <c r="L27" s="166"/>
      <c r="M27" s="167"/>
      <c r="N27" s="168"/>
      <c r="O27" s="35"/>
    </row>
    <row r="28" spans="1:15" ht="21.75" customHeight="1" thickBot="1">
      <c r="A28" s="154"/>
      <c r="B28" s="813" t="s">
        <v>7</v>
      </c>
      <c r="C28" s="806"/>
      <c r="D28" s="840" t="s">
        <v>98</v>
      </c>
      <c r="E28" s="841"/>
      <c r="F28" s="841"/>
      <c r="G28" s="842"/>
      <c r="H28" s="163"/>
      <c r="I28" s="840" t="s">
        <v>315</v>
      </c>
      <c r="J28" s="841"/>
      <c r="K28" s="841"/>
      <c r="L28" s="841"/>
      <c r="M28" s="841"/>
      <c r="N28" s="842"/>
      <c r="O28" s="35"/>
    </row>
    <row r="29" spans="1:15" ht="29.25" customHeight="1">
      <c r="A29" s="154"/>
      <c r="B29" s="449" t="s">
        <v>316</v>
      </c>
      <c r="C29" s="192"/>
      <c r="D29" s="843">
        <f>IF(ISBLANK(Programmatic!C9),"",(Programmatic!C9))</f>
      </c>
      <c r="E29" s="844"/>
      <c r="F29" s="844"/>
      <c r="G29" s="845"/>
      <c r="H29" s="189"/>
      <c r="I29" s="825"/>
      <c r="J29" s="826"/>
      <c r="K29" s="826"/>
      <c r="L29" s="826"/>
      <c r="M29" s="826"/>
      <c r="N29" s="827"/>
      <c r="O29" s="35"/>
    </row>
    <row r="30" spans="1:15" ht="21.75" customHeight="1">
      <c r="A30" s="154"/>
      <c r="B30" s="450" t="s">
        <v>317</v>
      </c>
      <c r="C30" s="193"/>
      <c r="D30" s="837">
        <f>IF(ISBLANK(Programmatic!G9),"",(Programmatic!G9))</f>
      </c>
      <c r="E30" s="823"/>
      <c r="F30" s="823"/>
      <c r="G30" s="824"/>
      <c r="H30" s="189"/>
      <c r="I30" s="786"/>
      <c r="J30" s="787"/>
      <c r="K30" s="787"/>
      <c r="L30" s="787"/>
      <c r="M30" s="787"/>
      <c r="N30" s="788"/>
      <c r="O30" s="35"/>
    </row>
    <row r="31" spans="1:15" ht="21.75" customHeight="1">
      <c r="A31" s="154"/>
      <c r="B31" s="450" t="s">
        <v>318</v>
      </c>
      <c r="C31" s="193"/>
      <c r="D31" s="837">
        <f>IF(ISBLANK(Programmatic!M9),"",(Programmatic!M9))</f>
      </c>
      <c r="E31" s="823"/>
      <c r="F31" s="823"/>
      <c r="G31" s="824"/>
      <c r="H31" s="189"/>
      <c r="I31" s="786"/>
      <c r="J31" s="787"/>
      <c r="K31" s="787"/>
      <c r="L31" s="787"/>
      <c r="M31" s="787"/>
      <c r="N31" s="788"/>
      <c r="O31" s="35"/>
    </row>
    <row r="32" spans="1:15" ht="21.75" customHeight="1">
      <c r="A32" s="154"/>
      <c r="B32" s="451" t="s">
        <v>106</v>
      </c>
      <c r="C32" s="193"/>
      <c r="D32" s="822" t="str">
        <f>IF(ISBLANK(Programmatic!L20),"",(Programmatic!L20))</f>
        <v>Orientation for health workers to systematically screen for TB at OPDs is completed and screening  tools have been deployed.  However, Gene Xperts to aid diagnosis have not been procured yet.</v>
      </c>
      <c r="E32" s="823"/>
      <c r="F32" s="823"/>
      <c r="G32" s="824"/>
      <c r="H32" s="189"/>
      <c r="I32" s="786"/>
      <c r="J32" s="787"/>
      <c r="K32" s="787"/>
      <c r="L32" s="787"/>
      <c r="M32" s="787"/>
      <c r="N32" s="788"/>
      <c r="O32" s="35"/>
    </row>
    <row r="33" spans="1:15" ht="27" customHeight="1">
      <c r="A33" s="154"/>
      <c r="B33" s="451" t="s">
        <v>107</v>
      </c>
      <c r="C33" s="193"/>
      <c r="D33" s="822" t="str">
        <f>IF(ISBLANK(Programmatic!L21),"",(Programmatic!L21))</f>
        <v>The process for procurement of GeneXpert has started and delivery of 90 Xperts which was expected in December 2015 has delayed. They will be deployed as soon as they are delivered after training of biomedical scientist, which is expected to be done on-site. </v>
      </c>
      <c r="E33" s="823"/>
      <c r="F33" s="823"/>
      <c r="G33" s="824"/>
      <c r="H33" s="189"/>
      <c r="I33" s="786"/>
      <c r="J33" s="787"/>
      <c r="K33" s="787"/>
      <c r="L33" s="787"/>
      <c r="M33" s="787"/>
      <c r="N33" s="788"/>
      <c r="O33" s="35"/>
    </row>
    <row r="34" spans="1:15" ht="21.75" customHeight="1">
      <c r="A34" s="154"/>
      <c r="B34" s="451" t="s">
        <v>108</v>
      </c>
      <c r="C34" s="193"/>
      <c r="D34" s="822" t="str">
        <f>IF(ISBLANK(Programmatic!L22),"",(Programmatic!L22))</f>
        <v>The achieveds is 2 percentage points short of the target 87%.  Death rate was 10.3%</v>
      </c>
      <c r="E34" s="823"/>
      <c r="F34" s="823"/>
      <c r="G34" s="824"/>
      <c r="H34" s="189"/>
      <c r="I34" s="786"/>
      <c r="J34" s="787"/>
      <c r="K34" s="787"/>
      <c r="L34" s="787"/>
      <c r="M34" s="787"/>
      <c r="N34" s="788"/>
      <c r="O34" s="35"/>
    </row>
    <row r="35" spans="1:15" ht="21.75" customHeight="1">
      <c r="A35" s="154"/>
      <c r="B35" s="451" t="s">
        <v>109</v>
      </c>
      <c r="C35" s="236"/>
      <c r="D35" s="822" t="str">
        <f>IF(ISBLANK(Programmatic!L23),"",(Programmatic!L23))</f>
        <v>EQA was intensified after indicators were redefined to conform with the revised WHO definitions</v>
      </c>
      <c r="E35" s="823"/>
      <c r="F35" s="823"/>
      <c r="G35" s="824"/>
      <c r="H35" s="189"/>
      <c r="I35" s="786"/>
      <c r="J35" s="787"/>
      <c r="K35" s="787"/>
      <c r="L35" s="787"/>
      <c r="M35" s="787"/>
      <c r="N35" s="788"/>
      <c r="O35" s="35"/>
    </row>
    <row r="36" spans="1:15" ht="21.75" customHeight="1">
      <c r="A36" s="154"/>
      <c r="B36" s="451" t="s">
        <v>120</v>
      </c>
      <c r="C36" s="236"/>
      <c r="D36" s="822" t="str">
        <f>IF(ISBLANK(Programmatic!L24),"",(Programmatic!L24))</f>
        <v>Effective stock management and the availability of commodities ensured no stock-out of TB commodities.</v>
      </c>
      <c r="E36" s="823"/>
      <c r="F36" s="823"/>
      <c r="G36" s="824"/>
      <c r="H36" s="189"/>
      <c r="I36" s="786"/>
      <c r="J36" s="787"/>
      <c r="K36" s="787"/>
      <c r="L36" s="787"/>
      <c r="M36" s="787"/>
      <c r="N36" s="788"/>
      <c r="O36" s="35"/>
    </row>
    <row r="37" spans="1:15" ht="21.75" customHeight="1">
      <c r="A37" s="154"/>
      <c r="B37" s="451" t="s">
        <v>121</v>
      </c>
      <c r="C37" s="236"/>
      <c r="D37" s="822" t="str">
        <f>IF(ISBLANK(Programmatic!L25),"",(Programmatic!L25))</f>
        <v>Reports from the Civil Society Organizations are due at the close of February 2016 and will be part of the next semester report</v>
      </c>
      <c r="E37" s="823"/>
      <c r="F37" s="823"/>
      <c r="G37" s="824"/>
      <c r="H37" s="189"/>
      <c r="I37" s="786"/>
      <c r="J37" s="787"/>
      <c r="K37" s="787"/>
      <c r="L37" s="787"/>
      <c r="M37" s="787"/>
      <c r="N37" s="788"/>
      <c r="O37" s="35"/>
    </row>
    <row r="38" spans="1:15" ht="21.75" customHeight="1">
      <c r="A38" s="154"/>
      <c r="B38" s="451" t="s">
        <v>122</v>
      </c>
      <c r="C38" s="236"/>
      <c r="D38" s="822" t="str">
        <f>IF(ISBLANK(Programmatic!L26),"",(Programmatic!L26))</f>
        <v>Increasingly, prescribers are following the Drug Resistant diagnosis alogorithm.  Sputum trasnport has been streamlined and some bottleneck removed.</v>
      </c>
      <c r="E38" s="823"/>
      <c r="F38" s="823"/>
      <c r="G38" s="824"/>
      <c r="H38" s="189"/>
      <c r="I38" s="786"/>
      <c r="J38" s="787"/>
      <c r="K38" s="787"/>
      <c r="L38" s="787"/>
      <c r="M38" s="787"/>
      <c r="N38" s="788"/>
      <c r="O38" s="35"/>
    </row>
    <row r="39" spans="1:15" ht="21.75" customHeight="1">
      <c r="A39" s="154"/>
      <c r="B39" s="451" t="s">
        <v>123</v>
      </c>
      <c r="C39" s="236"/>
      <c r="D39" s="822" t="str">
        <f>IF(ISBLANK(Programmatic!L27),"",(Programmatic!L27))</f>
        <v>Fewer than expected drug resistant TB cases were diagnosed.  TB Drug resistant survey is being conducted to establish TB drug resisnatnce prevalence in Ghana.  This is 9% prevalence based on the limited data.</v>
      </c>
      <c r="E39" s="823"/>
      <c r="F39" s="823"/>
      <c r="G39" s="824"/>
      <c r="H39" s="189"/>
      <c r="I39" s="786"/>
      <c r="J39" s="787"/>
      <c r="K39" s="787"/>
      <c r="L39" s="787"/>
      <c r="M39" s="787"/>
      <c r="N39" s="788"/>
      <c r="O39" s="35"/>
    </row>
    <row r="40" spans="1:15" ht="21.75" customHeight="1">
      <c r="A40" s="154"/>
      <c r="B40" s="451" t="s">
        <v>124</v>
      </c>
      <c r="C40" s="236"/>
      <c r="D40" s="822" t="str">
        <f>IF(ISBLANK(Programmatic!L28),"",(Programmatic!L28))</f>
        <v>This also includes patients diagnosed in December 2014 who were not enrolled due to pre-enrollment requirements which includes baseline laboratory investigations. </v>
      </c>
      <c r="E40" s="823"/>
      <c r="F40" s="823"/>
      <c r="G40" s="824"/>
      <c r="H40" s="189"/>
      <c r="I40" s="786"/>
      <c r="J40" s="787"/>
      <c r="K40" s="787"/>
      <c r="L40" s="787"/>
      <c r="M40" s="787"/>
      <c r="N40" s="788"/>
      <c r="O40" s="35"/>
    </row>
    <row r="41" spans="1:15" ht="21.75" customHeight="1" thickBot="1">
      <c r="A41" s="154"/>
      <c r="B41" s="451" t="s">
        <v>125</v>
      </c>
      <c r="C41" s="194"/>
      <c r="D41" s="822" t="str">
        <f>IF(ISBLANK(Programmatic!L29),"",(Programmatic!L29))</f>
        <v>69% of the target cases were tested for HIV, but, represent  80.3% of TB cases reported.</v>
      </c>
      <c r="E41" s="823"/>
      <c r="F41" s="823"/>
      <c r="G41" s="824"/>
      <c r="H41" s="189"/>
      <c r="I41" s="789"/>
      <c r="J41" s="790"/>
      <c r="K41" s="790"/>
      <c r="L41" s="790"/>
      <c r="M41" s="790"/>
      <c r="N41" s="791"/>
      <c r="O41" s="35"/>
    </row>
    <row r="42" spans="1:15" ht="14.25">
      <c r="A42" s="154"/>
      <c r="B42" s="195"/>
      <c r="C42" s="195"/>
      <c r="D42" s="196"/>
      <c r="E42" s="154"/>
      <c r="F42" s="195"/>
      <c r="G42" s="195"/>
      <c r="H42" s="154"/>
      <c r="I42" s="197"/>
      <c r="J42" s="154"/>
      <c r="K42" s="198"/>
      <c r="L42" s="198"/>
      <c r="M42" s="198"/>
      <c r="N42" s="198"/>
      <c r="O42" s="35"/>
    </row>
  </sheetData>
  <sheetProtection password="CFC9" sheet="1"/>
  <mergeCells count="65">
    <mergeCell ref="D41:G41"/>
    <mergeCell ref="I28:N28"/>
    <mergeCell ref="D40:G40"/>
    <mergeCell ref="D34:G34"/>
    <mergeCell ref="D29:G29"/>
    <mergeCell ref="D28:G28"/>
    <mergeCell ref="I34:N34"/>
    <mergeCell ref="D35:G35"/>
    <mergeCell ref="D32:G32"/>
    <mergeCell ref="D39:G39"/>
    <mergeCell ref="D38:G38"/>
    <mergeCell ref="D37:G37"/>
    <mergeCell ref="D19:G19"/>
    <mergeCell ref="D21:G21"/>
    <mergeCell ref="D36:G36"/>
    <mergeCell ref="D30:G30"/>
    <mergeCell ref="D31:G31"/>
    <mergeCell ref="D24:G24"/>
    <mergeCell ref="B28:C28"/>
    <mergeCell ref="D22:G22"/>
    <mergeCell ref="D23:G23"/>
    <mergeCell ref="I18:N18"/>
    <mergeCell ref="D18:G18"/>
    <mergeCell ref="D20:G20"/>
    <mergeCell ref="I32:N32"/>
    <mergeCell ref="D33:G33"/>
    <mergeCell ref="I21:N21"/>
    <mergeCell ref="I22:N22"/>
    <mergeCell ref="I23:N23"/>
    <mergeCell ref="I29:N29"/>
    <mergeCell ref="I33:N33"/>
    <mergeCell ref="I30:N30"/>
    <mergeCell ref="I31:N31"/>
    <mergeCell ref="B26:N26"/>
    <mergeCell ref="B16:N16"/>
    <mergeCell ref="D14:G14"/>
    <mergeCell ref="D11:G11"/>
    <mergeCell ref="D13:G13"/>
    <mergeCell ref="I12:N12"/>
    <mergeCell ref="D12:G12"/>
    <mergeCell ref="I11:N11"/>
    <mergeCell ref="B2:N2"/>
    <mergeCell ref="E5:K5"/>
    <mergeCell ref="E6:K6"/>
    <mergeCell ref="E3:K3"/>
    <mergeCell ref="C4:D4"/>
    <mergeCell ref="E4:K4"/>
    <mergeCell ref="C3:D3"/>
    <mergeCell ref="B8:N8"/>
    <mergeCell ref="I10:N10"/>
    <mergeCell ref="I19:N19"/>
    <mergeCell ref="I24:N24"/>
    <mergeCell ref="I20:N20"/>
    <mergeCell ref="B18:C18"/>
    <mergeCell ref="I13:N13"/>
    <mergeCell ref="I14:N14"/>
    <mergeCell ref="B10:C10"/>
    <mergeCell ref="D10:G10"/>
    <mergeCell ref="I40:N40"/>
    <mergeCell ref="I41:N41"/>
    <mergeCell ref="I35:N35"/>
    <mergeCell ref="I36:N36"/>
    <mergeCell ref="I37:N37"/>
    <mergeCell ref="I38:N38"/>
    <mergeCell ref="I39:N39"/>
  </mergeCells>
  <conditionalFormatting sqref="C4:D4">
    <cfRule type="cellIs" priority="1" dxfId="51" operator="equal" stopIfTrue="1">
      <formula>"C"</formula>
    </cfRule>
    <cfRule type="cellIs" priority="2" dxfId="48" operator="equal" stopIfTrue="1">
      <formula>"B2"</formula>
    </cfRule>
    <cfRule type="cellIs" priority="3" dxfId="49"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57" r:id="rId2"/>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110" zoomScaleNormal="110" zoomScaleSheetLayoutView="100" zoomScalePageLayoutView="0" workbookViewId="0" topLeftCell="A1">
      <selection activeCell="L3" sqref="L3"/>
    </sheetView>
  </sheetViews>
  <sheetFormatPr defaultColWidth="11.00390625" defaultRowHeight="15"/>
  <cols>
    <col min="1" max="1" width="4.140625" style="0" customWidth="1"/>
    <col min="2" max="2" width="14.57421875" style="0" customWidth="1"/>
    <col min="3" max="3" width="12.421875" style="0" customWidth="1"/>
    <col min="4" max="4" width="11.57421875" style="0" customWidth="1"/>
    <col min="5" max="5" width="19.00390625" style="0" customWidth="1"/>
    <col min="6" max="6" width="1.421875" style="0" customWidth="1"/>
    <col min="7" max="7" width="11.421875" style="0" customWidth="1"/>
    <col min="8" max="8" width="9.57421875" style="0" customWidth="1"/>
    <col min="9" max="9" width="11.57421875" style="0" customWidth="1"/>
    <col min="10" max="10" width="12.57421875" style="0" customWidth="1"/>
    <col min="11" max="11" width="10.57421875" style="0" customWidth="1"/>
    <col min="12" max="12" width="9.7109375" style="0" customWidth="1"/>
  </cols>
  <sheetData>
    <row r="1" ht="30.75" customHeight="1"/>
    <row r="2" spans="2:12" ht="27.75" customHeight="1">
      <c r="B2" s="745" t="str">
        <f>+"Dashboard:  "&amp;"  "&amp;IF(+'Data Entry'!C4="Please Select","",'Data Entry'!C4&amp;" - ")&amp;IF('Data Entry'!G6="Please Select","",'Data Entry'!G6)</f>
        <v>Dashboard:    Ghana - TB</v>
      </c>
      <c r="C2" s="745"/>
      <c r="D2" s="745"/>
      <c r="E2" s="745"/>
      <c r="F2" s="745"/>
      <c r="G2" s="745"/>
      <c r="H2" s="745"/>
      <c r="I2" s="745"/>
      <c r="J2" s="745"/>
      <c r="K2" s="745"/>
      <c r="L2" s="745"/>
    </row>
    <row r="3" spans="2:13" ht="15">
      <c r="B3" s="24">
        <f>+IF('Data Entry'!G8="Please Select","",'Data Entry'!G8)</f>
        <v>0</v>
      </c>
      <c r="C3" s="735">
        <f>+IF('Data Entry'!I8="Please Select","",'Data Entry'!I8)</f>
        <v>0</v>
      </c>
      <c r="D3" s="735"/>
      <c r="E3" s="736"/>
      <c r="F3" s="736"/>
      <c r="G3" s="736"/>
      <c r="H3" s="736"/>
      <c r="I3" s="736"/>
      <c r="J3" s="740" t="str">
        <f>+'Data Entry'!B16</f>
        <v>Report Period:</v>
      </c>
      <c r="K3" s="740"/>
      <c r="L3" s="202" t="str">
        <f>+'Data Entry'!C16</f>
        <v>P2</v>
      </c>
      <c r="M3" s="85"/>
    </row>
    <row r="4" spans="2:12" ht="15">
      <c r="B4" s="24" t="str">
        <f>+'Data Entry'!B12</f>
        <v>Latest Rating:</v>
      </c>
      <c r="C4" s="895">
        <f>+IF('Data Entry'!C12="Please Select","",'Data Entry'!C12)</f>
        <v>0</v>
      </c>
      <c r="D4" s="895"/>
      <c r="E4" s="736" t="str">
        <f>+'Data Entry'!C8</f>
        <v>Ministry of Health / Ghana Health Services</v>
      </c>
      <c r="F4" s="736"/>
      <c r="G4" s="736"/>
      <c r="H4" s="736"/>
      <c r="I4" s="736"/>
      <c r="J4" s="740" t="str">
        <f>+'Data Entry'!D16</f>
        <v>From:</v>
      </c>
      <c r="K4" s="741"/>
      <c r="L4" s="203">
        <f>+IF(ISBLANK('Data Entry'!E16),"",'Data Entry'!E16)</f>
        <v>42278</v>
      </c>
    </row>
    <row r="5" spans="2:12" ht="18.75" customHeight="1">
      <c r="B5" s="24"/>
      <c r="C5" s="24"/>
      <c r="D5" s="736" t="str">
        <f>+'Data Entry'!G4</f>
        <v>Accelerating access to prevention and treatment of TB towards attaining the MDGs</v>
      </c>
      <c r="E5" s="736"/>
      <c r="F5" s="736"/>
      <c r="G5" s="736"/>
      <c r="H5" s="736"/>
      <c r="I5" s="736"/>
      <c r="J5" s="736"/>
      <c r="K5" s="24" t="str">
        <f>+'Data Entry'!F16</f>
        <v>To:</v>
      </c>
      <c r="L5" s="203">
        <f>+IF(ISBLANK('Data Entry'!G16),"",'Data Entry'!G16)</f>
        <v>42369</v>
      </c>
    </row>
    <row r="6" spans="2:9" ht="18.75">
      <c r="B6" s="23"/>
      <c r="C6" s="24"/>
      <c r="D6" s="25"/>
      <c r="E6" s="746" t="s">
        <v>372</v>
      </c>
      <c r="F6" s="746"/>
      <c r="G6" s="746"/>
      <c r="H6" s="746"/>
      <c r="I6" s="746"/>
    </row>
    <row r="7" spans="5:9" ht="18.75">
      <c r="E7" s="72"/>
      <c r="F7" s="72"/>
      <c r="G7" s="72"/>
      <c r="H7" s="72"/>
      <c r="I7" s="72"/>
    </row>
    <row r="8" spans="2:12" s="33" customFormat="1" ht="21" customHeight="1" thickBot="1">
      <c r="B8" s="76" t="s">
        <v>96</v>
      </c>
      <c r="C8" s="76"/>
      <c r="D8" s="76"/>
      <c r="E8" s="76"/>
      <c r="F8" s="76"/>
      <c r="G8" s="76"/>
      <c r="H8" s="76"/>
      <c r="I8" s="76"/>
      <c r="J8" s="76"/>
      <c r="K8" s="76"/>
      <c r="L8" s="76"/>
    </row>
    <row r="9" ht="6" customHeight="1">
      <c r="B9" s="74"/>
    </row>
    <row r="10" spans="2:12" ht="15">
      <c r="B10" s="846"/>
      <c r="C10" s="847"/>
      <c r="D10" s="847"/>
      <c r="E10" s="847"/>
      <c r="F10" s="847"/>
      <c r="G10" s="847"/>
      <c r="H10" s="847"/>
      <c r="I10" s="847"/>
      <c r="J10" s="847"/>
      <c r="K10" s="847"/>
      <c r="L10" s="848"/>
    </row>
    <row r="11" spans="2:12" ht="15">
      <c r="B11" s="849"/>
      <c r="C11" s="850"/>
      <c r="D11" s="850"/>
      <c r="E11" s="850"/>
      <c r="F11" s="850"/>
      <c r="G11" s="850"/>
      <c r="H11" s="850"/>
      <c r="I11" s="850"/>
      <c r="J11" s="850"/>
      <c r="K11" s="850"/>
      <c r="L11" s="851"/>
    </row>
    <row r="12" ht="15.75" thickBot="1"/>
    <row r="13" spans="2:12" ht="26.25" customHeight="1" thickBot="1">
      <c r="B13" s="876" t="s">
        <v>305</v>
      </c>
      <c r="C13" s="877"/>
      <c r="D13" s="877"/>
      <c r="E13" s="878"/>
      <c r="F13" s="77"/>
      <c r="G13" s="870" t="s">
        <v>128</v>
      </c>
      <c r="H13" s="852"/>
      <c r="I13" s="852"/>
      <c r="J13" s="78" t="s">
        <v>97</v>
      </c>
      <c r="K13" s="852" t="s">
        <v>292</v>
      </c>
      <c r="L13" s="853"/>
    </row>
    <row r="14" spans="1:12" ht="15">
      <c r="A14" s="871" t="s">
        <v>306</v>
      </c>
      <c r="B14" s="854"/>
      <c r="C14" s="854"/>
      <c r="D14" s="854"/>
      <c r="E14" s="855"/>
      <c r="F14" s="46"/>
      <c r="G14" s="894"/>
      <c r="H14" s="893"/>
      <c r="I14" s="893"/>
      <c r="J14" s="893"/>
      <c r="K14" s="893"/>
      <c r="L14" s="896"/>
    </row>
    <row r="15" spans="1:12" ht="15">
      <c r="A15" s="872"/>
      <c r="B15" s="854"/>
      <c r="C15" s="854"/>
      <c r="D15" s="854"/>
      <c r="E15" s="855"/>
      <c r="F15" s="46"/>
      <c r="G15" s="874"/>
      <c r="H15" s="862"/>
      <c r="I15" s="862"/>
      <c r="J15" s="862"/>
      <c r="K15" s="862"/>
      <c r="L15" s="863"/>
    </row>
    <row r="16" spans="1:12" ht="15">
      <c r="A16" s="872"/>
      <c r="B16" s="854"/>
      <c r="C16" s="854"/>
      <c r="D16" s="854"/>
      <c r="E16" s="855"/>
      <c r="F16" s="46"/>
      <c r="G16" s="874"/>
      <c r="H16" s="862"/>
      <c r="I16" s="862"/>
      <c r="J16" s="862"/>
      <c r="K16" s="862"/>
      <c r="L16" s="863"/>
    </row>
    <row r="17" spans="1:12" ht="15">
      <c r="A17" s="872"/>
      <c r="B17" s="854"/>
      <c r="C17" s="854"/>
      <c r="D17" s="854"/>
      <c r="E17" s="855"/>
      <c r="F17" s="46"/>
      <c r="G17" s="874"/>
      <c r="H17" s="862"/>
      <c r="I17" s="862"/>
      <c r="J17" s="862"/>
      <c r="K17" s="862"/>
      <c r="L17" s="863"/>
    </row>
    <row r="18" spans="1:12" ht="15">
      <c r="A18" s="872"/>
      <c r="B18" s="854"/>
      <c r="C18" s="854"/>
      <c r="D18" s="854"/>
      <c r="E18" s="855"/>
      <c r="F18" s="46"/>
      <c r="G18" s="864"/>
      <c r="H18" s="865"/>
      <c r="I18" s="866"/>
      <c r="J18" s="862"/>
      <c r="K18" s="862"/>
      <c r="L18" s="863"/>
    </row>
    <row r="19" spans="1:12" ht="30.75" customHeight="1">
      <c r="A19" s="872"/>
      <c r="B19" s="854"/>
      <c r="C19" s="854"/>
      <c r="D19" s="854"/>
      <c r="E19" s="855"/>
      <c r="F19" s="46"/>
      <c r="G19" s="867"/>
      <c r="H19" s="868"/>
      <c r="I19" s="869"/>
      <c r="J19" s="862"/>
      <c r="K19" s="862"/>
      <c r="L19" s="863"/>
    </row>
    <row r="20" spans="1:12" ht="15">
      <c r="A20" s="872"/>
      <c r="B20" s="854"/>
      <c r="C20" s="854"/>
      <c r="D20" s="854"/>
      <c r="E20" s="855"/>
      <c r="F20" s="46"/>
      <c r="G20" s="874"/>
      <c r="H20" s="862"/>
      <c r="I20" s="862"/>
      <c r="J20" s="862"/>
      <c r="K20" s="862"/>
      <c r="L20" s="863"/>
    </row>
    <row r="21" spans="1:12" ht="15">
      <c r="A21" s="872"/>
      <c r="B21" s="854"/>
      <c r="C21" s="854"/>
      <c r="D21" s="854"/>
      <c r="E21" s="855"/>
      <c r="F21" s="46"/>
      <c r="G21" s="874"/>
      <c r="H21" s="862"/>
      <c r="I21" s="862"/>
      <c r="J21" s="862"/>
      <c r="K21" s="862"/>
      <c r="L21" s="863"/>
    </row>
    <row r="22" spans="1:12" ht="15">
      <c r="A22" s="872"/>
      <c r="B22" s="854"/>
      <c r="C22" s="854"/>
      <c r="D22" s="854"/>
      <c r="E22" s="855"/>
      <c r="F22" s="46"/>
      <c r="G22" s="874"/>
      <c r="H22" s="862"/>
      <c r="I22" s="862"/>
      <c r="J22" s="862"/>
      <c r="K22" s="862"/>
      <c r="L22" s="863"/>
    </row>
    <row r="23" spans="1:12" ht="15">
      <c r="A23" s="872"/>
      <c r="B23" s="854"/>
      <c r="C23" s="854"/>
      <c r="D23" s="854"/>
      <c r="E23" s="855"/>
      <c r="F23" s="46"/>
      <c r="G23" s="874"/>
      <c r="H23" s="862"/>
      <c r="I23" s="862"/>
      <c r="J23" s="862"/>
      <c r="K23" s="862"/>
      <c r="L23" s="863"/>
    </row>
    <row r="24" spans="1:12" ht="15">
      <c r="A24" s="872"/>
      <c r="B24" s="854"/>
      <c r="C24" s="854"/>
      <c r="D24" s="854"/>
      <c r="E24" s="855"/>
      <c r="F24" s="46"/>
      <c r="G24" s="874"/>
      <c r="H24" s="862"/>
      <c r="I24" s="862"/>
      <c r="J24" s="862"/>
      <c r="K24" s="862"/>
      <c r="L24" s="863"/>
    </row>
    <row r="25" spans="1:12" ht="15.75" thickBot="1">
      <c r="A25" s="873"/>
      <c r="B25" s="856"/>
      <c r="C25" s="856"/>
      <c r="D25" s="856"/>
      <c r="E25" s="857"/>
      <c r="F25" s="46"/>
      <c r="G25" s="879"/>
      <c r="H25" s="880"/>
      <c r="I25" s="880"/>
      <c r="J25" s="880"/>
      <c r="K25" s="880"/>
      <c r="L25" s="897"/>
    </row>
    <row r="27" spans="5:9" ht="18.75">
      <c r="E27" s="875" t="s">
        <v>335</v>
      </c>
      <c r="F27" s="875"/>
      <c r="G27" s="875"/>
      <c r="H27" s="875"/>
      <c r="I27" s="875"/>
    </row>
    <row r="28" spans="5:9" ht="6" customHeight="1">
      <c r="E28" s="72"/>
      <c r="F28" s="72"/>
      <c r="G28" s="72"/>
      <c r="H28" s="72"/>
      <c r="I28" s="72"/>
    </row>
    <row r="29" spans="2:12" s="33" customFormat="1" ht="21" customHeight="1" thickBot="1">
      <c r="B29" s="76" t="s">
        <v>96</v>
      </c>
      <c r="C29" s="76"/>
      <c r="D29" s="76"/>
      <c r="E29" s="76"/>
      <c r="F29" s="76"/>
      <c r="G29" s="76"/>
      <c r="H29" s="76"/>
      <c r="I29" s="76"/>
      <c r="J29" s="76"/>
      <c r="K29" s="76"/>
      <c r="L29" s="76"/>
    </row>
    <row r="30" ht="6" customHeight="1" thickBot="1">
      <c r="B30" s="74"/>
    </row>
    <row r="31" spans="2:12" ht="21.75" customHeight="1" thickBot="1">
      <c r="B31" s="876" t="s">
        <v>128</v>
      </c>
      <c r="C31" s="877"/>
      <c r="D31" s="877"/>
      <c r="E31" s="878"/>
      <c r="F31" s="77"/>
      <c r="G31" s="870" t="s">
        <v>320</v>
      </c>
      <c r="H31" s="852"/>
      <c r="I31" s="852"/>
      <c r="J31" s="78" t="s">
        <v>294</v>
      </c>
      <c r="K31" s="852" t="s">
        <v>292</v>
      </c>
      <c r="L31" s="853"/>
    </row>
    <row r="32" spans="1:12" ht="14.25" customHeight="1">
      <c r="A32" s="871" t="s">
        <v>307</v>
      </c>
      <c r="B32" s="881"/>
      <c r="C32" s="882"/>
      <c r="D32" s="882"/>
      <c r="E32" s="883"/>
      <c r="F32" s="46"/>
      <c r="G32" s="858"/>
      <c r="H32" s="859"/>
      <c r="I32" s="859"/>
      <c r="J32" s="859"/>
      <c r="K32" s="859"/>
      <c r="L32" s="900"/>
    </row>
    <row r="33" spans="1:12" ht="16.5" customHeight="1">
      <c r="A33" s="872"/>
      <c r="B33" s="867"/>
      <c r="C33" s="868"/>
      <c r="D33" s="868"/>
      <c r="E33" s="884"/>
      <c r="F33" s="46"/>
      <c r="G33" s="860"/>
      <c r="H33" s="861"/>
      <c r="I33" s="861"/>
      <c r="J33" s="861"/>
      <c r="K33" s="861"/>
      <c r="L33" s="898"/>
    </row>
    <row r="34" spans="1:12" ht="15">
      <c r="A34" s="872"/>
      <c r="B34" s="885">
        <f>IF(Recommendations!I43="","",Recommendations!I43)</f>
      </c>
      <c r="C34" s="886"/>
      <c r="D34" s="886"/>
      <c r="E34" s="887"/>
      <c r="F34" s="46"/>
      <c r="G34" s="860"/>
      <c r="H34" s="861"/>
      <c r="I34" s="861"/>
      <c r="J34" s="861"/>
      <c r="K34" s="861"/>
      <c r="L34" s="898"/>
    </row>
    <row r="35" spans="1:12" ht="15">
      <c r="A35" s="872"/>
      <c r="B35" s="885"/>
      <c r="C35" s="886"/>
      <c r="D35" s="886"/>
      <c r="E35" s="887"/>
      <c r="F35" s="46"/>
      <c r="G35" s="860"/>
      <c r="H35" s="861"/>
      <c r="I35" s="861"/>
      <c r="J35" s="861"/>
      <c r="K35" s="861"/>
      <c r="L35" s="898"/>
    </row>
    <row r="36" spans="1:12" ht="15">
      <c r="A36" s="872"/>
      <c r="B36" s="885">
        <f>+IF(Recommendations!I53="","",Recommendations!I53)</f>
      </c>
      <c r="C36" s="886"/>
      <c r="D36" s="886"/>
      <c r="E36" s="887"/>
      <c r="F36" s="46"/>
      <c r="G36" s="860"/>
      <c r="H36" s="861"/>
      <c r="I36" s="861"/>
      <c r="J36" s="861"/>
      <c r="K36" s="861"/>
      <c r="L36" s="898"/>
    </row>
    <row r="37" spans="1:12" ht="15">
      <c r="A37" s="872"/>
      <c r="B37" s="885"/>
      <c r="C37" s="886"/>
      <c r="D37" s="886"/>
      <c r="E37" s="887"/>
      <c r="F37" s="46"/>
      <c r="G37" s="860"/>
      <c r="H37" s="861"/>
      <c r="I37" s="861"/>
      <c r="J37" s="861"/>
      <c r="K37" s="861"/>
      <c r="L37" s="898"/>
    </row>
    <row r="38" spans="1:12" ht="15">
      <c r="A38" s="872"/>
      <c r="B38" s="885"/>
      <c r="C38" s="886"/>
      <c r="D38" s="886"/>
      <c r="E38" s="887"/>
      <c r="F38" s="46"/>
      <c r="G38" s="860"/>
      <c r="H38" s="861"/>
      <c r="I38" s="861"/>
      <c r="J38" s="861"/>
      <c r="K38" s="861"/>
      <c r="L38" s="898"/>
    </row>
    <row r="39" spans="1:12" ht="15">
      <c r="A39" s="872"/>
      <c r="B39" s="885"/>
      <c r="C39" s="886"/>
      <c r="D39" s="886"/>
      <c r="E39" s="887"/>
      <c r="F39" s="46"/>
      <c r="G39" s="860"/>
      <c r="H39" s="861"/>
      <c r="I39" s="861"/>
      <c r="J39" s="861"/>
      <c r="K39" s="861"/>
      <c r="L39" s="898"/>
    </row>
    <row r="40" spans="1:12" ht="15">
      <c r="A40" s="872"/>
      <c r="B40" s="885"/>
      <c r="C40" s="886"/>
      <c r="D40" s="886"/>
      <c r="E40" s="887"/>
      <c r="F40" s="46"/>
      <c r="G40" s="860"/>
      <c r="H40" s="861"/>
      <c r="I40" s="861"/>
      <c r="J40" s="861"/>
      <c r="K40" s="861"/>
      <c r="L40" s="898"/>
    </row>
    <row r="41" spans="1:12" ht="15">
      <c r="A41" s="872"/>
      <c r="B41" s="885"/>
      <c r="C41" s="886"/>
      <c r="D41" s="886"/>
      <c r="E41" s="887"/>
      <c r="F41" s="46"/>
      <c r="G41" s="860"/>
      <c r="H41" s="861"/>
      <c r="I41" s="861"/>
      <c r="J41" s="861"/>
      <c r="K41" s="861"/>
      <c r="L41" s="898"/>
    </row>
    <row r="42" spans="1:12" ht="15">
      <c r="A42" s="872"/>
      <c r="B42" s="885"/>
      <c r="C42" s="886"/>
      <c r="D42" s="886"/>
      <c r="E42" s="887"/>
      <c r="F42" s="46"/>
      <c r="G42" s="860"/>
      <c r="H42" s="861"/>
      <c r="I42" s="861"/>
      <c r="J42" s="861"/>
      <c r="K42" s="861"/>
      <c r="L42" s="898"/>
    </row>
    <row r="43" spans="1:12" ht="15.75" thickBot="1">
      <c r="A43" s="873"/>
      <c r="B43" s="888"/>
      <c r="C43" s="889"/>
      <c r="D43" s="889"/>
      <c r="E43" s="890"/>
      <c r="F43" s="46"/>
      <c r="G43" s="891"/>
      <c r="H43" s="892"/>
      <c r="I43" s="892"/>
      <c r="J43" s="892"/>
      <c r="K43" s="892"/>
      <c r="L43" s="899"/>
    </row>
  </sheetData>
  <sheetProtection password="CFC9" sheet="1"/>
  <mergeCells count="67">
    <mergeCell ref="K31:L31"/>
    <mergeCell ref="K24:L25"/>
    <mergeCell ref="K34:L35"/>
    <mergeCell ref="K40:L41"/>
    <mergeCell ref="K42:L43"/>
    <mergeCell ref="K36:L37"/>
    <mergeCell ref="K38:L39"/>
    <mergeCell ref="K32:L33"/>
    <mergeCell ref="B40:E41"/>
    <mergeCell ref="J38:J39"/>
    <mergeCell ref="B34:E35"/>
    <mergeCell ref="G34:I35"/>
    <mergeCell ref="J34:J35"/>
    <mergeCell ref="B36:E37"/>
    <mergeCell ref="G36:I37"/>
    <mergeCell ref="J36:J37"/>
    <mergeCell ref="J40:J41"/>
    <mergeCell ref="B2:L2"/>
    <mergeCell ref="C4:D4"/>
    <mergeCell ref="K14:L15"/>
    <mergeCell ref="K16:L17"/>
    <mergeCell ref="E3:I3"/>
    <mergeCell ref="J3:K3"/>
    <mergeCell ref="E4:I4"/>
    <mergeCell ref="J4:K4"/>
    <mergeCell ref="E6:I6"/>
    <mergeCell ref="C3:D3"/>
    <mergeCell ref="G42:I43"/>
    <mergeCell ref="J42:J43"/>
    <mergeCell ref="G40:I41"/>
    <mergeCell ref="A14:A25"/>
    <mergeCell ref="J18:J19"/>
    <mergeCell ref="J16:J17"/>
    <mergeCell ref="J14:J15"/>
    <mergeCell ref="B16:E17"/>
    <mergeCell ref="G14:I15"/>
    <mergeCell ref="B38:E39"/>
    <mergeCell ref="D5:J5"/>
    <mergeCell ref="B13:E13"/>
    <mergeCell ref="J24:J25"/>
    <mergeCell ref="B14:E15"/>
    <mergeCell ref="J22:J23"/>
    <mergeCell ref="G16:I17"/>
    <mergeCell ref="B18:E19"/>
    <mergeCell ref="B22:E23"/>
    <mergeCell ref="B20:E21"/>
    <mergeCell ref="J20:J21"/>
    <mergeCell ref="A32:A43"/>
    <mergeCell ref="G31:I31"/>
    <mergeCell ref="G20:I21"/>
    <mergeCell ref="G22:I23"/>
    <mergeCell ref="E27:I27"/>
    <mergeCell ref="B31:E31"/>
    <mergeCell ref="G24:I25"/>
    <mergeCell ref="G38:I39"/>
    <mergeCell ref="B32:E33"/>
    <mergeCell ref="B42:E43"/>
    <mergeCell ref="B10:L11"/>
    <mergeCell ref="K13:L13"/>
    <mergeCell ref="B24:E25"/>
    <mergeCell ref="G32:I33"/>
    <mergeCell ref="K18:L19"/>
    <mergeCell ref="G18:I19"/>
    <mergeCell ref="G13:I13"/>
    <mergeCell ref="K22:L23"/>
    <mergeCell ref="K20:L21"/>
    <mergeCell ref="J32:J33"/>
  </mergeCells>
  <conditionalFormatting sqref="C4:D4">
    <cfRule type="cellIs" priority="1" dxfId="51" operator="equal" stopIfTrue="1">
      <formula>"C"</formula>
    </cfRule>
    <cfRule type="cellIs" priority="2" dxfId="48" operator="equal" stopIfTrue="1">
      <formula>"B2"</formula>
    </cfRule>
    <cfRule type="cellIs" priority="3" dxfId="49"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0" r:id="rId2"/>
  <headerFooter alignWithMargins="0">
    <oddFooter>&amp;L&amp;F&amp;C&amp;A&amp;RV1.0          &amp;D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USER</cp:lastModifiedBy>
  <cp:lastPrinted>2009-11-06T15:57:56Z</cp:lastPrinted>
  <dcterms:created xsi:type="dcterms:W3CDTF">2008-11-20T16:06:13Z</dcterms:created>
  <dcterms:modified xsi:type="dcterms:W3CDTF">2016-03-04T16:33:44Z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