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91"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 name="Sheet1" sheetId="11" state="hidden" r:id="rId11"/>
    <sheet name="Sheet2" sheetId="12" state="hidden" r:id="rId12"/>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ERIOD2">'Setup'!$F$9:$F$23</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'Programmatic'!$A$1:$Q$27</definedName>
    <definedName name="PrintA">'Actions'!$A$2:$L$34</definedName>
    <definedName name="PrintDataF">'Data Entry'!$B$25:$J$71</definedName>
    <definedName name="PrintDataM">'Data Entry'!$B$73:$H$117</definedName>
    <definedName name="PrintF">'Finance'!$A$2:$K$31</definedName>
    <definedName name="PrintGD">'Grant Detail'!$A$2:$J$13</definedName>
    <definedName name="PrintM" localSheetId="8">'Actions'!$A$2:$L$6</definedName>
    <definedName name="PrintM">'Management'!$A$2:$L$36</definedName>
    <definedName name="PrintP">'Programmatic'!$A$2:$P$28</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8" authorId="0">
      <text>
        <r>
          <rPr>
            <b/>
            <sz val="8"/>
            <rFont val="Tahoma"/>
            <family val="2"/>
          </rPr>
          <t xml:space="preserve">If data are not available, do not enter zeros; rather, leave the cells in the table blank. </t>
        </r>
      </text>
    </comment>
    <comment ref="B79"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85" authorId="1">
      <text>
        <r>
          <rPr>
            <sz val="8"/>
            <rFont val="Tahoma"/>
            <family val="2"/>
          </rPr>
          <t xml:space="preserve">If data are not available, do not enter zeros; rather, leave the cells in this table blank. </t>
        </r>
      </text>
    </comment>
    <comment ref="B100"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<sst xmlns="http://schemas.openxmlformats.org/spreadsheetml/2006/main" count="610" uniqueCount="486">
  <si>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</si>
  <si>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</si>
  <si>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</si>
  <si>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</si>
  <si>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</si>
  <si>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</si>
  <si>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</si>
  <si>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</si>
  <si>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</si>
  <si>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</si>
  <si>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</si>
  <si>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</si>
  <si>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</si>
  <si>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</si>
  <si>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</si>
  <si>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</si>
  <si>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</si>
  <si>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</si>
  <si>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</si>
  <si>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</si>
  <si>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</si>
  <si>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</si>
  <si>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</si>
  <si>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</si>
  <si>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</si>
  <si>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</si>
  <si>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</si>
  <si>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</si>
  <si>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</si>
  <si>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</si>
  <si>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</si>
  <si>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</si>
  <si>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</si>
  <si>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</si>
  <si>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</si>
  <si>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</si>
  <si>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</si>
  <si>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</si>
  <si>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</si>
  <si>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</si>
  <si>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</si>
  <si>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</si>
  <si>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</si>
  <si>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</si>
  <si>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</si>
  <si>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</si>
  <si>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</si>
  <si>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</si>
  <si>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</si>
  <si>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</si>
  <si>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</si>
  <si>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</si>
  <si>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</si>
  <si>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</si>
  <si>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</si>
  <si>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</si>
  <si>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</si>
  <si>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</si>
  <si>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</si>
  <si>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</si>
  <si>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</si>
  <si>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</si>
  <si>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</si>
  <si>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</si>
  <si>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</si>
  <si>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</si>
  <si>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</si>
  <si>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</si>
  <si>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</si>
  <si>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</si>
  <si>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</si>
  <si>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</si>
  <si>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</si>
  <si>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</si>
  <si>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</si>
  <si>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</si>
  <si>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</si>
  <si>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</si>
  <si>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</si>
  <si>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</si>
  <si>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</si>
  <si>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</si>
  <si>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</si>
  <si>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</si>
  <si>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</si>
  <si>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</si>
  <si>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</si>
  <si>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</si>
  <si>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</si>
  <si>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</si>
  <si>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</si>
  <si>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</si>
  <si>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</si>
  <si>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</si>
  <si>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</si>
  <si>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</si>
  <si>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</si>
  <si>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</si>
  <si>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</si>
  <si>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</si>
  <si>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</si>
  <si>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</si>
  <si>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</si>
  <si>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</si>
  <si>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</si>
  <si>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</si>
  <si>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</si>
  <si>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</si>
  <si>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</si>
  <si>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</si>
  <si>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</si>
  <si>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</si>
  <si>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</si>
  <si>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</si>
  <si>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</si>
  <si>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</si>
  <si>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</si>
  <si>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</si>
  <si>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</si>
  <si>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</si>
  <si>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</si>
  <si>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</si>
  <si>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</si>
  <si>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</si>
  <si>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</si>
  <si>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</si>
  <si>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</si>
  <si>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</si>
  <si>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</si>
  <si>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</si>
  <si>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</si>
  <si>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</si>
  <si>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</si>
  <si>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</si>
  <si>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</si>
  <si>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</si>
  <si>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</si>
  <si>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</si>
  <si>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</si>
  <si>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</si>
  <si>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</si>
  <si>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</si>
  <si>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</si>
  <si>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</si>
  <si>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</si>
  <si>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</si>
  <si>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</si>
  <si>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</si>
  <si>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</si>
  <si>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</si>
  <si>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</si>
  <si>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</si>
  <si>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</si>
  <si>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</si>
  <si>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</si>
  <si>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</si>
  <si>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</si>
  <si>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</si>
  <si>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</si>
  <si>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</si>
  <si>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</si>
  <si>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</si>
  <si>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</si>
  <si>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</si>
  <si>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</si>
  <si>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</si>
  <si>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</si>
  <si>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</si>
  <si>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</si>
  <si>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</si>
  <si>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</si>
  <si>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</si>
  <si>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</si>
  <si>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</si>
  <si>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</si>
  <si>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</si>
  <si>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</si>
  <si>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</si>
  <si>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</si>
  <si>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</si>
  <si>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</si>
  <si>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</si>
  <si>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</si>
  <si>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</si>
  <si>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</si>
  <si>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</si>
  <si>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</si>
  <si>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</si>
  <si>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</si>
  <si>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</si>
  <si>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</si>
  <si>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</si>
  <si>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</si>
  <si>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</si>
  <si>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</si>
  <si>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</si>
  <si>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</si>
  <si>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</si>
  <si>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</si>
  <si>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</si>
  <si>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</si>
  <si>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</si>
  <si>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</si>
  <si>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</si>
  <si>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</si>
  <si>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</si>
  <si>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</si>
  <si>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</si>
  <si>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</si>
  <si>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</si>
  <si>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</si>
  <si>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</si>
  <si>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</si>
  <si>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</si>
  <si>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</si>
  <si>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</si>
  <si>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</si>
  <si>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</si>
  <si>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</si>
  <si>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</si>
  <si>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</si>
  <si>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</si>
  <si>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</si>
  <si>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</si>
  <si>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</si>
  <si>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</si>
  <si>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</si>
  <si>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</si>
  <si>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</si>
  <si>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</si>
  <si>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</si>
  <si>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</si>
  <si>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</si>
  <si>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</si>
  <si>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</si>
  <si>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</si>
  <si>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</si>
  <si>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</si>
  <si>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</si>
  <si>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</si>
  <si>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</si>
  <si>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</si>
  <si>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</si>
  <si>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</si>
  <si>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</si>
  <si>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</si>
  <si>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</si>
  <si>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</si>
  <si>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</si>
  <si>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</si>
  <si>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</si>
  <si>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</si>
  <si>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</si>
  <si>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</si>
  <si>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</si>
  <si>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</si>
  <si>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</si>
  <si>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</si>
  <si>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</si>
  <si>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</si>
  <si>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</si>
  <si>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</si>
  <si>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</si>
  <si>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</si>
  <si>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</si>
  <si>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</si>
  <si>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</si>
  <si>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</si>
  <si>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</si>
  <si>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</si>
  <si>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</si>
  <si>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</si>
  <si>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</si>
  <si>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</si>
  <si>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</si>
  <si>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</si>
  <si>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</si>
  <si>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</si>
  <si>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</si>
  <si>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</si>
  <si>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</si>
  <si>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</si>
  <si>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</si>
  <si>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</si>
  <si>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</si>
  <si>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</si>
  <si>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</si>
  <si>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</si>
  <si>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</si>
  <si>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</si>
  <si>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</si>
  <si>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</si>
  <si>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</si>
  <si>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</si>
  <si>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</si>
  <si>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</si>
  <si>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</si>
  <si>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</si>
  <si>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</si>
  <si>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</si>
  <si>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</si>
  <si>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</si>
  <si>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</si>
  <si>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</si>
  <si>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</si>
  <si>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</si>
  <si>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</si>
  <si>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</si>
  <si>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</si>
  <si>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</si>
  <si>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</si>
  <si>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</si>
  <si>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</si>
  <si>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</si>
  <si>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</si>
  <si>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</si>
  <si>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</si>
  <si>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</si>
  <si>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</si>
  <si>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</si>
  <si>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</si>
  <si>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</si>
  <si>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</si>
  <si>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</si>
  <si>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</si>
  <si>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</si>
  <si>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</si>
  <si>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</si>
  <si>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</si>
  <si>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</si>
  <si>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</si>
  <si>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</si>
  <si>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</si>
  <si>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</si>
  <si>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</si>
  <si>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</si>
  <si>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</si>
  <si>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</si>
  <si>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</si>
  <si>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</si>
  <si>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</si>
  <si>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</si>
  <si>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</si>
  <si>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</si>
  <si>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</si>
  <si>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</si>
  <si>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</si>
  <si>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</si>
  <si>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</si>
  <si>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</si>
  <si>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</si>
  <si>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</si>
  <si>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</si>
  <si>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</si>
  <si>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</si>
  <si>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</si>
  <si>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</si>
  <si>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</si>
  <si>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</si>
  <si>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</si>
  <si>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</si>
  <si>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</si>
  <si>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</si>
  <si>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</si>
  <si>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</si>
  <si>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</si>
  <si>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</si>
  <si>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</si>
  <si>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</si>
  <si>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</si>
  <si>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</si>
  <si>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</si>
  <si>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</si>
  <si>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</si>
  <si>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</si>
  <si>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</si>
  <si>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</si>
  <si>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</si>
  <si>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</si>
  <si>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</si>
  <si>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</si>
  <si>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</si>
  <si>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</si>
  <si>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</si>
  <si>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</si>
  <si>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</si>
  <si>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</si>
  <si>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</si>
  <si>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</si>
  <si>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</si>
  <si>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</si>
  <si>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</si>
  <si>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</si>
  <si>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</si>
  <si>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</si>
  <si>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</si>
  <si>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</si>
  <si>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</si>
  <si>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</si>
  <si>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</si>
  <si>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</si>
  <si>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</si>
  <si>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</si>
  <si>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</si>
  <si>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</si>
  <si>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</si>
  <si>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</si>
  <si>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</si>
  <si>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</si>
  <si>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</si>
  <si>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</si>
  <si>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</si>
  <si>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Ghana AIDS Commission</t>
  </si>
  <si>
    <t>N/A</t>
  </si>
  <si>
    <t>GAC Core Team</t>
  </si>
  <si>
    <t>jan to june 2012</t>
  </si>
  <si>
    <t>july to dec 2012</t>
  </si>
  <si>
    <t>jan to june 2013</t>
  </si>
  <si>
    <t>july  to dec 2013</t>
  </si>
  <si>
    <t>jan to june 2014</t>
  </si>
  <si>
    <t>july to dec 2014</t>
  </si>
  <si>
    <t xml:space="preserve">Comments:  </t>
  </si>
  <si>
    <t>Mark Saalfeld</t>
  </si>
  <si>
    <t>GHA-H-GAC-786</t>
  </si>
  <si>
    <t>NFM</t>
  </si>
  <si>
    <t>Reinforcing the Scaling Up of HIV Services: Strengthening HIV
Prevention and Effective Targeting</t>
  </si>
  <si>
    <t>Q1</t>
  </si>
  <si>
    <t>Q2</t>
  </si>
  <si>
    <t>Q3</t>
  </si>
  <si>
    <t>Q4</t>
  </si>
  <si>
    <t>Q5</t>
  </si>
  <si>
    <t>Q6</t>
  </si>
  <si>
    <t>Q7</t>
  </si>
  <si>
    <t>Q8</t>
  </si>
  <si>
    <t>Q9</t>
  </si>
  <si>
    <t>Q10</t>
  </si>
  <si>
    <t>Apr-Jun 2016</t>
  </si>
  <si>
    <t>Jan-Mar 2016</t>
  </si>
  <si>
    <t>Oct -Dec 2015</t>
  </si>
  <si>
    <t>July - Sep 2015</t>
  </si>
  <si>
    <t>July - Sep 2016</t>
  </si>
  <si>
    <t>Oct -Dec 2016</t>
  </si>
  <si>
    <t>Jan-Mar 2017</t>
  </si>
  <si>
    <t>Apr-Jun 2017</t>
  </si>
  <si>
    <t>July - Sep 2017</t>
  </si>
  <si>
    <t>Oct -Dec 2017</t>
  </si>
  <si>
    <t>Grant INTERVENTION</t>
  </si>
  <si>
    <t>The PR received $1,332,486 from the GF  within the period</t>
  </si>
  <si>
    <t xml:space="preserve"> $34667.45 was disbursement  to SR within this period.</t>
  </si>
  <si>
    <t>BCC Outreach</t>
  </si>
  <si>
    <t>HIV Testing and Counseling</t>
  </si>
  <si>
    <t>Care and Support (NHIS)</t>
  </si>
  <si>
    <t>Distribution of Condom</t>
  </si>
  <si>
    <t>Improve Coordination</t>
  </si>
  <si>
    <t>The PR did not undertake any activities in HTC and Condom distribution</t>
  </si>
  <si>
    <t>BY Module</t>
  </si>
  <si>
    <t>MSM</t>
  </si>
  <si>
    <t>CSS</t>
  </si>
  <si>
    <t>Program Mgt</t>
  </si>
  <si>
    <t>FSW</t>
  </si>
  <si>
    <t>TOTAL</t>
  </si>
  <si>
    <t>Pr7. #  of PLHIV registered in the National Health Insurance Scheme</t>
  </si>
  <si>
    <t>Pr5.  # of FSW registered on National Health Insurance Scheme</t>
  </si>
  <si>
    <t>Pr6. # of MSM registered on National Health Insurance Scheme</t>
  </si>
  <si>
    <t>Pr8. #  of models of hope trained and are mobilizing people for integrated services (PMTCT) and HTC services, TB and malaria</t>
  </si>
  <si>
    <t>Pr1.  # of FSW reached with HIV prevention programs -defined package of service</t>
  </si>
  <si>
    <t>Pr2. #  of FSW that have received an HIV test during the reporting period and know their results</t>
  </si>
  <si>
    <t>Pr3.  # of MSM reached with HIV prevention programs - defined package of service</t>
  </si>
  <si>
    <t>Pr4. #  of MSM  that have received an HIV test during the reporting period and know their results</t>
  </si>
  <si>
    <t>Pr9. # of regional NAP+ offices that are establised and functional (10 at the regional level and 1 at the national level)</t>
  </si>
  <si>
    <t>Pr10. # of Number of Social Accountability Monitoring Committee (SAMC) established and are functional (10 at the regional level and 1 at the national level</t>
  </si>
  <si>
    <t>d</t>
  </si>
  <si>
    <t>Funds were realeased to health facilities in late December accounting for low numbers in registration</t>
  </si>
  <si>
    <t>Modalities for engaging and registering of FSWs are underway</t>
  </si>
  <si>
    <t>Institutions have been identified and TOR drafted for approval</t>
  </si>
  <si>
    <t>The selection and training of MOH completed in Ashanti and Eastern region. The selection of MOH for the two regions (Greater Accra and Western) are currently ongoing</t>
  </si>
  <si>
    <t>Modalities for engaging and registering of MSM are underway</t>
  </si>
  <si>
    <t>The PR  has  two  SRs</t>
  </si>
  <si>
    <t>Two SSRs submitted late reports to their SRs and the two SRs also submitted their report to the PR after the deadline</t>
  </si>
  <si>
    <t xml:space="preserve">Sustained high performance of  peer educators at the various sites flowing from Round 8 extension was made possible by clear and consistent communication. This led to a smooth transition into NFM </t>
  </si>
  <si>
    <t>Implementation started late  due to adjustment of grant architecture (MSM module subsumed under WAPCAS - SR)which led to delay in approval for MSM, SSRs to commence implementation. Scale up expected in Q1 of 2016</t>
  </si>
  <si>
    <t>Implementation started late  due to adjustment of grant architecture (MSM module subsumed under WAPCAS - SR)which led to delay in approval for MSM, SSRs to commence implementation. Scale up expected in Q1 of 2016. Short fall in test kits received.</t>
  </si>
  <si>
    <t>The timely release of testkits contributed to the achievement</t>
  </si>
  <si>
    <t xml:space="preserve">The NAP+ offices have been established  for all 10 regionS. The national NAP+ is established. 12 members of the regional executives have been trained </t>
  </si>
  <si>
    <t>% of budget</t>
  </si>
  <si>
    <t xml:space="preserve">burn rate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</si>
</sst>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GH¢&quot;#,##0_);\(&quot;GH¢&quot;#,##0\)"/>
    <numFmt numFmtId="165" formatCode="&quot;GH¢&quot;#,##0_);[Red]\(&quot;GH¢&quot;#,##0\)"/>
    <numFmt numFmtId="166" formatCode="&quot;GH¢&quot;#,##0.00_);\(&quot;GH¢&quot;#,##0.00\)"/>
    <numFmt numFmtId="167" formatCode="&quot;GH¢&quot;#,##0.00_);[Red]\(&quot;GH¢&quot;#,##0.00\)"/>
    <numFmt numFmtId="168" formatCode="_(&quot;GH¢&quot;* #,##0_);_(&quot;GH¢&quot;* \(#,##0\);_(&quot;GH¢&quot;* &quot;-&quot;_);_(@_)"/>
    <numFmt numFmtId="169" formatCode="_(&quot;GH¢&quot;* #,##0.00_);_(&quot;GH¢&quot;* \(#,##0.00\);_(&quot;GH¢&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Fr.&quot;\ #,##0;&quot;SFr.&quot;\ \-#,##0"/>
    <numFmt numFmtId="185" formatCode="&quot;SFr.&quot;\ #,##0;[Red]&quot;SFr.&quot;\ \-#,##0"/>
    <numFmt numFmtId="186" formatCode="&quot;SFr.&quot;\ #,##0.00;&quot;SFr.&quot;\ \-#,##0.00"/>
    <numFmt numFmtId="187" formatCode="&quot;SFr.&quot;\ #,##0.00;[Red]&quot;SFr.&quot;\ \-#,##0.00"/>
    <numFmt numFmtId="188" formatCode="_ &quot;SFr.&quot;\ * #,##0_ ;_ &quot;SFr.&quot;\ * \-#,##0_ ;_ &quot;SFr.&quot;\ * &quot;-&quot;_ ;_ @_ "/>
    <numFmt numFmtId="189" formatCode="_ * #,##0_ ;_ * \-#,##0_ ;_ * &quot;-&quot;_ ;_ @_ "/>
    <numFmt numFmtId="190" formatCode="_ &quot;SFr.&quot;\ * #,##0.00_ ;_ &quot;SFr.&quot;\ * \-#,##0.00_ ;_ &quot;SFr.&quot;\ * &quot;-&quot;??_ ;_ @_ "/>
    <numFmt numFmtId="191" formatCode="_ * #,##0.00_ ;_ * \-#,##0.00_ ;_ * &quot;-&quot;??_ ;_ @_ "/>
    <numFmt numFmtId="192" formatCode="&quot;Q&quot;#,##0_);[Red]\(&quot;Q&quot;#,##0\)"/>
    <numFmt numFmtId="193" formatCode="_(&quot;Q&quot;* #,##0_);_(&quot;Q&quot;* \(#,##0\);_(&quot;Q&quot;* &quot;-&quot;_);_(@_)"/>
    <numFmt numFmtId="194" formatCode="_(&quot;Q&quot;* #,##0.00_);_(&quot;Q&quot;* \(#,##0.00\);_(&quot;Q&quot;* &quot;-&quot;??_);_(@_)"/>
    <numFmt numFmtId="195" formatCode="_(* #,##0_);_(* \(#,##0\);_(* &quot;-&quot;??_);_(@_)"/>
    <numFmt numFmtId="196" formatCode=";;;"/>
    <numFmt numFmtId="197" formatCode="0.0"/>
    <numFmt numFmtId="198" formatCode=";;;&quot;Financial Variance in %&quot;"/>
    <numFmt numFmtId="199" formatCode=";;;&quot;Revenue in $&quot;"/>
    <numFmt numFmtId="200" formatCode="_([$€]* #,##0.00_);_([$€]* \(#,##0.00\);_([$€]* &quot;-&quot;??_);_(@_)"/>
    <numFmt numFmtId="201" formatCode="[$$-409]#,##0"/>
    <numFmt numFmtId="202" formatCode="[$-409]d/mmm/yyyy;@"/>
    <numFmt numFmtId="203" formatCode="[$$-409]#,##0.00"/>
    <numFmt numFmtId="204" formatCode="[$$-409]#,##0_);\([$$-409]#,##0\)"/>
    <numFmt numFmtId="205" formatCode="[$$-409]#,##0.0"/>
    <numFmt numFmtId="206" formatCode="&quot;Yes&quot;;&quot;Yes&quot;;&quot;No&quot;"/>
    <numFmt numFmtId="207" formatCode="&quot;True&quot;;&quot;True&quot;;&quot;False&quot;"/>
    <numFmt numFmtId="208" formatCode="&quot;On&quot;;&quot;On&quot;;&quot;Off&quot;"/>
    <numFmt numFmtId="209" formatCode="[$€-2]\ #,##0.00_);[Red]\([$€-2]\ #,##0.00\)"/>
    <numFmt numFmtId="210" formatCode="#,##0.00000000"/>
    <numFmt numFmtId="211" formatCode="#,##0.0000000000"/>
    <numFmt numFmtId="212" formatCode="#,##0.000000000"/>
    <numFmt numFmtId="213" formatCode="[$-409]dddd\,\ mmmm\ d\,\ yyyy"/>
    <numFmt numFmtId="214" formatCode="[$-409]h:mm:ss\ AM/PM"/>
    <numFmt numFmtId="215" formatCode="0.0%"/>
    <numFmt numFmtId="216" formatCode="#,##0.0"/>
    <numFmt numFmtId="217" formatCode="#,##0.000"/>
    <numFmt numFmtId="218" formatCode="#,##0.0000"/>
  </numFmts>
  <fonts count="151">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sz val="5.75"/>
      <color indexed="8"/>
      <name val="Arial"/>
      <family val="2"/>
    </font>
    <font>
      <sz val="6"/>
      <color indexed="8"/>
      <name val="Arial"/>
      <family val="2"/>
    </font>
    <font>
      <sz val="2.3"/>
      <color indexed="8"/>
      <name val="Arial"/>
      <family val="2"/>
    </font>
    <font>
      <sz val="3.35"/>
      <color indexed="8"/>
      <name val="Arial"/>
      <family val="2"/>
    </font>
    <font>
      <sz val="9.5"/>
      <color indexed="8"/>
      <name val="Arial"/>
      <family val="2"/>
    </font>
    <font>
      <sz val="4.25"/>
      <color indexed="8"/>
      <name val="Arial"/>
      <family val="2"/>
    </font>
    <font>
      <sz val="8"/>
      <color indexed="8"/>
      <name val="Arial"/>
      <family val="2"/>
    </font>
    <font>
      <sz val="5"/>
      <color indexed="8"/>
      <name val="Calibri"/>
      <family val="2"/>
    </font>
    <font>
      <sz val="3.35"/>
      <color indexed="8"/>
      <name val="Calibri"/>
      <family val="2"/>
    </font>
    <font>
      <sz val="5.5"/>
      <color indexed="8"/>
      <name val="Arial"/>
      <family val="2"/>
    </font>
    <font>
      <b/>
      <sz val="8"/>
      <color indexed="8"/>
      <name val="Arial"/>
      <family val="2"/>
    </font>
    <font>
      <sz val="6.75"/>
      <color indexed="8"/>
      <name val="Arial"/>
      <family val="2"/>
    </font>
    <font>
      <sz val="2.4"/>
      <color indexed="8"/>
      <name val="Arial"/>
      <family val="2"/>
    </font>
    <font>
      <sz val="4.75"/>
      <color indexed="8"/>
      <name val="Arial"/>
      <family val="2"/>
    </font>
    <font>
      <b/>
      <sz val="5.5"/>
      <color indexed="8"/>
      <name val="Arial"/>
      <family val="2"/>
    </font>
    <font>
      <sz val="1"/>
      <color indexed="8"/>
      <name val="Arial"/>
      <family val="2"/>
    </font>
    <font>
      <b/>
      <sz val="1"/>
      <color indexed="8"/>
      <name val="Arial"/>
      <family val="2"/>
    </font>
    <font>
      <b/>
      <i/>
      <sz val="11"/>
      <color indexed="16"/>
      <name val="Calibri"/>
      <family val="2"/>
    </font>
    <font>
      <i/>
      <sz val="11"/>
      <color indexed="16"/>
      <name val="Calibri"/>
      <family val="2"/>
    </font>
    <font>
      <b/>
      <sz val="10"/>
      <color indexed="9"/>
      <name val="Calibri"/>
      <family val="2"/>
    </font>
    <font>
      <b/>
      <sz val="8"/>
      <color indexed="9"/>
      <name val="Arial Unicode MS"/>
      <family val="2"/>
    </font>
    <font>
      <sz val="12"/>
      <color indexed="8"/>
      <name val="Arial"/>
      <family val="2"/>
    </font>
    <font>
      <sz val="18"/>
      <color indexed="8"/>
      <name val="Arial"/>
      <family val="2"/>
    </font>
    <font>
      <sz val="9"/>
      <color indexed="8"/>
      <name val="Calibri"/>
      <family val="2"/>
    </font>
    <font>
      <b/>
      <sz val="5.75"/>
      <color indexed="8"/>
      <name val="Arial"/>
      <family val="2"/>
    </font>
    <font>
      <b/>
      <sz val="1.25"/>
      <color indexed="8"/>
      <name val="Arial"/>
      <family val="2"/>
    </font>
    <font>
      <sz val="11"/>
      <color rgb="FF9C6500"/>
      <name val="Calibri"/>
      <family val="2"/>
    </font>
    <font>
      <b/>
      <sz val="11"/>
      <color theme="1"/>
      <name val="Calibri"/>
      <family val="2"/>
    </font>
    <font>
      <b/>
      <sz val="10"/>
      <color theme="0"/>
      <name val="Calibri"/>
      <family val="2"/>
    </font>
    <font>
      <sz val="11"/>
      <color theme="0"/>
      <name val="Calibri"/>
      <family val="2"/>
    </font>
    <font>
      <b/>
      <sz val="8"/>
      <color theme="0"/>
      <name val="Arial Unicode MS"/>
      <family val="2"/>
    </font>
    <font>
      <i/>
      <sz val="11"/>
      <color theme="1"/>
      <name val="Calibri"/>
      <family val="2"/>
    </font>
    <font>
      <b/>
      <sz val="14"/>
      <color theme="0"/>
      <name val="Calibri"/>
      <family val="2"/>
    </font>
    <font>
      <b/>
      <sz val="8"/>
      <name val="Calibri"/>
      <family val="2"/>
    </font>
  </fonts>
  <fills count="3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solid">
        <fgColor indexed="13"/>
        <bgColor indexed="64"/>
      </patternFill>
    </fill>
  </fills>
  <borders count="2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medium"/>
      <right>
        <color indexed="63"/>
      </right>
      <top>
        <color indexed="63"/>
      </top>
      <bottom style="thin"/>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color indexed="16"/>
      </left>
      <right style="thin">
        <color indexed="16"/>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style="thin">
        <color indexed="16"/>
      </left>
      <right>
        <color indexed="63"/>
      </right>
      <top style="medium"/>
      <bottom style="thin"/>
    </border>
    <border>
      <left style="thin">
        <color indexed="60"/>
      </left>
      <right>
        <color indexed="63"/>
      </right>
      <top style="medium">
        <color indexed="60"/>
      </top>
      <bottom style="thin">
        <color indexed="60"/>
      </bottom>
    </border>
    <border>
      <left style="thin">
        <color indexed="60"/>
      </left>
      <right>
        <color indexed="63"/>
      </right>
      <top style="thin">
        <color indexed="60"/>
      </top>
      <bottom style="thin">
        <color indexed="60"/>
      </bottom>
    </border>
    <border>
      <left style="thin">
        <color indexed="60"/>
      </left>
      <right>
        <color indexed="63"/>
      </right>
      <top style="thin">
        <color indexed="60"/>
      </top>
      <bottom style="medium">
        <color indexed="60"/>
      </bottom>
    </border>
    <border>
      <left style="thin"/>
      <right style="thin"/>
      <top style="thin"/>
      <bottom>
        <color indexed="63"/>
      </bottom>
    </border>
    <border>
      <left>
        <color indexed="63"/>
      </left>
      <right style="thin">
        <color indexed="9"/>
      </right>
      <top style="thin">
        <color indexed="9"/>
      </top>
      <bottom style="thin">
        <color indexed="9"/>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color indexed="63"/>
      </right>
      <top style="thin"/>
      <bottom>
        <color indexed="63"/>
      </bottom>
    </border>
    <border>
      <left>
        <color indexed="63"/>
      </left>
      <right style="medium">
        <color indexed="51"/>
      </right>
      <top style="thin"/>
      <bottom>
        <color indexed="63"/>
      </bottom>
    </border>
    <border>
      <left>
        <color indexed="63"/>
      </left>
      <right style="medium">
        <color indexed="51"/>
      </right>
      <top>
        <color indexed="63"/>
      </top>
      <bottom style="thin"/>
    </border>
    <border>
      <left style="medium">
        <color indexed="51"/>
      </left>
      <right>
        <color indexed="63"/>
      </right>
      <top>
        <color indexed="63"/>
      </top>
      <bottom style="medium">
        <color indexed="51"/>
      </bottom>
    </border>
    <border>
      <left>
        <color indexed="63"/>
      </left>
      <right style="medium">
        <color indexed="51"/>
      </right>
      <top>
        <color indexed="63"/>
      </top>
      <bottom style="medium">
        <color indexed="51"/>
      </bottom>
    </border>
    <border>
      <left style="medium">
        <color indexed="51"/>
      </left>
      <right style="medium">
        <color indexed="51"/>
      </right>
      <top style="thin"/>
      <bottom style="thin"/>
    </border>
    <border>
      <left style="medium">
        <color indexed="51"/>
      </left>
      <right style="medium">
        <color indexed="51"/>
      </right>
      <top style="thin"/>
      <bottom>
        <color indexed="63"/>
      </bottom>
    </border>
    <border>
      <left>
        <color indexed="63"/>
      </left>
      <right style="thin"/>
      <top style="thin"/>
      <bottom style="medium">
        <color indexed="51"/>
      </bottom>
    </border>
    <border>
      <left style="medium">
        <color indexed="51"/>
      </left>
      <right style="medium">
        <color indexed="51"/>
      </right>
      <top style="thin"/>
      <bottom style="medium">
        <color indexed="51"/>
      </botto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51"/>
      </left>
      <right style="thin"/>
      <top style="thin"/>
      <bottom style="thin"/>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16"/>
      </left>
      <right>
        <color indexed="63"/>
      </right>
      <top>
        <color indexed="63"/>
      </top>
      <bottom>
        <color indexed="63"/>
      </bottom>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0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43" fillId="27" borderId="0" applyNumberFormat="0" applyBorder="0" applyAlignment="0" applyProtection="0"/>
    <xf numFmtId="0" fontId="2" fillId="0" borderId="0">
      <alignment/>
      <protection/>
    </xf>
    <xf numFmtId="0" fontId="2" fillId="0" borderId="0">
      <alignment/>
      <protection/>
    </xf>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44" fillId="0" borderId="11" applyNumberFormat="0" applyFill="0" applyAlignment="0" applyProtection="0"/>
    <xf numFmtId="0" fontId="77" fillId="0" borderId="0" applyNumberFormat="0" applyFill="0" applyBorder="0" applyAlignment="0" applyProtection="0"/>
  </cellStyleXfs>
  <cellXfs count="932">
    <xf numFmtId="0" fontId="0" fillId="0" borderId="0" xfId="0" applyFont="1" applyAlignment="1">
      <alignment/>
    </xf>
    <xf numFmtId="43" fontId="19" fillId="0" borderId="0" xfId="94"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4" applyFont="1" applyFill="1" applyAlignment="1" applyProtection="1">
      <alignment vertical="center"/>
      <protection/>
    </xf>
    <xf numFmtId="0" fontId="24" fillId="0" borderId="0" xfId="0" applyFont="1" applyAlignment="1" applyProtection="1">
      <alignment/>
      <protection/>
    </xf>
    <xf numFmtId="43" fontId="22" fillId="0" borderId="0" xfId="107" applyFont="1" applyFill="1" applyAlignment="1" applyProtection="1">
      <alignment/>
      <protection/>
    </xf>
    <xf numFmtId="43" fontId="22" fillId="0" borderId="0" xfId="107" applyFont="1" applyFill="1" applyAlignment="1" applyProtection="1">
      <alignment horizontal="center"/>
      <protection/>
    </xf>
    <xf numFmtId="43" fontId="22" fillId="0" borderId="0" xfId="107" applyFont="1" applyFill="1" applyAlignment="1" applyProtection="1">
      <alignment horizontal="right"/>
      <protection/>
    </xf>
    <xf numFmtId="43" fontId="22" fillId="0" borderId="0" xfId="107" applyFont="1" applyFill="1" applyBorder="1" applyAlignment="1" applyProtection="1">
      <alignment horizontal="center"/>
      <protection/>
    </xf>
    <xf numFmtId="43" fontId="0" fillId="0" borderId="0" xfId="105" applyProtection="1">
      <alignment/>
      <protection/>
    </xf>
    <xf numFmtId="43" fontId="18" fillId="0" borderId="0" xfId="105" applyFont="1" applyProtection="1">
      <alignment/>
      <protection/>
    </xf>
    <xf numFmtId="0" fontId="21" fillId="0" borderId="0" xfId="105" applyNumberFormat="1" applyFont="1" applyBorder="1" applyProtection="1">
      <alignment/>
      <protection/>
    </xf>
    <xf numFmtId="43" fontId="0" fillId="0" borderId="0" xfId="109" applyProtection="1">
      <alignment/>
      <protection/>
    </xf>
    <xf numFmtId="43" fontId="0" fillId="0" borderId="0" xfId="109" applyFill="1" applyBorder="1" applyAlignment="1" applyProtection="1">
      <alignment horizontal="left"/>
      <protection/>
    </xf>
    <xf numFmtId="0" fontId="0" fillId="0" borderId="0" xfId="0" applyFill="1" applyBorder="1" applyAlignment="1" applyProtection="1">
      <alignment/>
      <protection/>
    </xf>
    <xf numFmtId="43" fontId="0" fillId="0" borderId="0" xfId="109" applyFill="1" applyBorder="1" applyProtection="1">
      <alignment/>
      <protection/>
    </xf>
    <xf numFmtId="0" fontId="18" fillId="0" borderId="0" xfId="0" applyFont="1" applyAlignment="1" applyProtection="1">
      <alignment/>
      <protection/>
    </xf>
    <xf numFmtId="43" fontId="18" fillId="0" borderId="0" xfId="109"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95" fontId="31" fillId="0" borderId="0" xfId="64" applyNumberFormat="1" applyFont="1" applyAlignment="1">
      <alignment horizontal="left"/>
    </xf>
    <xf numFmtId="43" fontId="19" fillId="0" borderId="0" xfId="104"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9" applyNumberFormat="1" applyFont="1" applyFill="1" applyBorder="1" applyAlignment="1">
      <alignment horizontal="center"/>
    </xf>
    <xf numFmtId="10" fontId="9" fillId="0" borderId="0" xfId="119"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44" applyFill="1" applyBorder="1" applyAlignment="1" applyProtection="1">
      <alignment vertical="center"/>
      <protection locked="0"/>
    </xf>
    <xf numFmtId="192"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3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5" applyFont="1" applyProtection="1">
      <alignment/>
      <protection/>
    </xf>
    <xf numFmtId="43" fontId="71" fillId="0" borderId="0" xfId="109"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9"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9" applyFont="1" applyFill="1" applyBorder="1" applyAlignment="1">
      <alignment/>
    </xf>
    <xf numFmtId="9" fontId="18" fillId="2" borderId="13" xfId="119" applyNumberFormat="1" applyFont="1" applyFill="1" applyBorder="1" applyAlignment="1">
      <alignment/>
    </xf>
    <xf numFmtId="0" fontId="18" fillId="2" borderId="13" xfId="0" applyFont="1" applyFill="1" applyBorder="1" applyAlignment="1">
      <alignment/>
    </xf>
    <xf numFmtId="9" fontId="18" fillId="2" borderId="13" xfId="119"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104"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15" applyNumberFormat="1" applyFont="1" applyFill="1" applyBorder="1" applyAlignment="1">
      <alignment horizontal="center" vertical="center" wrapText="1"/>
      <protection/>
    </xf>
    <xf numFmtId="0" fontId="78" fillId="8" borderId="15" xfId="115"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44"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44" applyFont="1" applyBorder="1" applyAlignment="1" applyProtection="1">
      <alignment/>
      <protection/>
    </xf>
    <xf numFmtId="43" fontId="0" fillId="0" borderId="16" xfId="144" applyFill="1" applyBorder="1" applyAlignment="1" applyProtection="1">
      <alignment vertical="center"/>
      <protection/>
    </xf>
    <xf numFmtId="43" fontId="1" fillId="0" borderId="16" xfId="144" applyFont="1" applyFill="1" applyBorder="1" applyAlignment="1" applyProtection="1">
      <alignment vertical="center"/>
      <protection/>
    </xf>
    <xf numFmtId="43" fontId="34" fillId="0" borderId="0" xfId="144" applyFont="1" applyBorder="1" applyAlignment="1" applyProtection="1">
      <alignment/>
      <protection/>
    </xf>
    <xf numFmtId="43" fontId="0" fillId="0" borderId="0" xfId="144" applyFill="1" applyBorder="1" applyAlignment="1" applyProtection="1">
      <alignment vertical="center"/>
      <protection/>
    </xf>
    <xf numFmtId="43" fontId="1" fillId="0" borderId="0" xfId="144"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95" fontId="18"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44" applyFont="1" applyBorder="1" applyAlignment="1" applyProtection="1">
      <alignment/>
      <protection/>
    </xf>
    <xf numFmtId="43" fontId="42" fillId="0" borderId="22" xfId="144" applyFont="1" applyFill="1" applyBorder="1" applyAlignment="1" applyProtection="1">
      <alignment vertical="center"/>
      <protection/>
    </xf>
    <xf numFmtId="43" fontId="42" fillId="0" borderId="22" xfId="144" applyFont="1" applyFill="1" applyBorder="1" applyAlignment="1" applyProtection="1">
      <alignment horizontal="center" vertical="center"/>
      <protection/>
    </xf>
    <xf numFmtId="43" fontId="42" fillId="0" borderId="0" xfId="144" applyFont="1" applyFill="1" applyBorder="1" applyAlignment="1" applyProtection="1">
      <alignment vertical="center"/>
      <protection/>
    </xf>
    <xf numFmtId="43" fontId="41" fillId="0" borderId="0" xfId="144" applyFont="1" applyBorder="1" applyAlignment="1" applyProtection="1">
      <alignment/>
      <protection/>
    </xf>
    <xf numFmtId="43" fontId="43" fillId="0" borderId="0" xfId="144"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44" applyFont="1" applyFill="1" applyBorder="1" applyAlignment="1" applyProtection="1">
      <alignment/>
      <protection/>
    </xf>
    <xf numFmtId="43" fontId="42" fillId="0" borderId="30" xfId="144"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95"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95"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6"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8"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7" fontId="55" fillId="2" borderId="0" xfId="119"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3" xfId="0" applyNumberFormat="1" applyFont="1" applyFill="1" applyBorder="1" applyAlignment="1" applyProtection="1">
      <alignment horizontal="right"/>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6"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7" xfId="0" applyNumberFormat="1" applyFont="1" applyFill="1" applyBorder="1" applyAlignment="1" applyProtection="1">
      <alignment horizontal="right"/>
      <protection/>
    </xf>
    <xf numFmtId="0" fontId="56" fillId="0" borderId="38" xfId="0" applyNumberFormat="1" applyFont="1" applyFill="1" applyBorder="1" applyAlignment="1" applyProtection="1">
      <alignment horizontal="right"/>
      <protection/>
    </xf>
    <xf numFmtId="0" fontId="38" fillId="0" borderId="39" xfId="0" applyNumberFormat="1" applyFont="1" applyFill="1" applyBorder="1" applyAlignment="1" applyProtection="1">
      <alignment vertical="center"/>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0" fontId="0" fillId="0" borderId="0" xfId="0" applyBorder="1" applyAlignment="1">
      <alignment horizontal="center"/>
    </xf>
    <xf numFmtId="0" fontId="18" fillId="2" borderId="0" xfId="0" applyFont="1" applyFill="1" applyAlignment="1">
      <alignment/>
    </xf>
    <xf numFmtId="195" fontId="18" fillId="2" borderId="0" xfId="0" applyNumberFormat="1" applyFont="1" applyFill="1" applyAlignment="1">
      <alignment/>
    </xf>
    <xf numFmtId="3" fontId="18" fillId="2" borderId="0" xfId="0" applyNumberFormat="1" applyFont="1" applyFill="1" applyAlignment="1" applyProtection="1">
      <alignment/>
      <protection/>
    </xf>
    <xf numFmtId="192"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2" xfId="0" applyFont="1" applyFill="1" applyBorder="1" applyAlignment="1" applyProtection="1">
      <alignment horizontal="center" wrapText="1"/>
      <protection/>
    </xf>
    <xf numFmtId="0" fontId="31" fillId="0" borderId="43" xfId="0" applyFont="1" applyFill="1" applyBorder="1" applyAlignment="1" applyProtection="1">
      <alignment horizontal="center" wrapText="1"/>
      <protection/>
    </xf>
    <xf numFmtId="0" fontId="0" fillId="0" borderId="43" xfId="0" applyBorder="1" applyAlignment="1" applyProtection="1">
      <alignment/>
      <protection/>
    </xf>
    <xf numFmtId="43" fontId="20" fillId="0" borderId="0" xfId="103" applyFont="1" applyFill="1" applyAlignment="1" applyProtection="1">
      <alignment horizontal="center" vertical="center"/>
      <protection/>
    </xf>
    <xf numFmtId="43" fontId="19" fillId="0" borderId="0" xfId="103"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4" xfId="137"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5" xfId="0" applyNumberFormat="1" applyFont="1" applyFill="1" applyBorder="1" applyAlignment="1" applyProtection="1">
      <alignment vertical="center"/>
      <protection/>
    </xf>
    <xf numFmtId="43" fontId="0" fillId="0" borderId="0" xfId="111"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6" xfId="0" applyFont="1" applyBorder="1" applyAlignment="1">
      <alignment horizontal="justify" vertical="center" wrapText="1"/>
    </xf>
    <xf numFmtId="0" fontId="66" fillId="0" borderId="47" xfId="0" applyFont="1" applyBorder="1" applyAlignment="1">
      <alignment horizontal="justify" vertical="center" wrapText="1"/>
    </xf>
    <xf numFmtId="0" fontId="90" fillId="0" borderId="46" xfId="0" applyFont="1" applyBorder="1" applyAlignment="1">
      <alignment horizontal="justify" vertical="center" wrapText="1"/>
    </xf>
    <xf numFmtId="43" fontId="92" fillId="0" borderId="30" xfId="144" applyFont="1" applyFill="1" applyBorder="1" applyAlignment="1" applyProtection="1">
      <alignment/>
      <protection/>
    </xf>
    <xf numFmtId="43" fontId="12" fillId="0" borderId="30" xfId="144"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6" xfId="0" applyFont="1" applyBorder="1" applyAlignment="1">
      <alignment vertical="center" wrapText="1"/>
    </xf>
    <xf numFmtId="0" fontId="2" fillId="0" borderId="48"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6" xfId="0" applyFont="1" applyFill="1" applyBorder="1" applyAlignment="1">
      <alignment horizontal="justify" vertical="center" wrapText="1"/>
    </xf>
    <xf numFmtId="0" fontId="90" fillId="12" borderId="47"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6"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43" fontId="94" fillId="0" borderId="30" xfId="144" applyFont="1" applyFill="1" applyBorder="1" applyAlignment="1" applyProtection="1">
      <alignment vertical="center"/>
      <protection/>
    </xf>
    <xf numFmtId="0" fontId="93" fillId="0" borderId="0" xfId="0" applyFont="1" applyFill="1" applyAlignment="1">
      <alignment/>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49"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95"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43" fontId="23" fillId="0" borderId="0" xfId="107" applyFont="1" applyFill="1" applyAlignment="1" applyProtection="1">
      <alignment horizontal="right" vertical="center"/>
      <protection/>
    </xf>
    <xf numFmtId="0" fontId="66" fillId="12" borderId="31" xfId="0" applyFont="1" applyFill="1" applyBorder="1" applyAlignment="1">
      <alignment horizontal="left" vertical="center" wrapText="1"/>
    </xf>
    <xf numFmtId="0" fontId="66" fillId="12" borderId="46" xfId="0" applyFont="1" applyFill="1" applyBorder="1" applyAlignment="1">
      <alignment horizontal="left" vertical="center" wrapText="1"/>
    </xf>
    <xf numFmtId="0" fontId="66" fillId="12" borderId="47" xfId="0" applyFont="1" applyFill="1" applyBorder="1" applyAlignment="1">
      <alignment horizontal="left" vertical="center" wrapText="1"/>
    </xf>
    <xf numFmtId="43" fontId="98" fillId="0" borderId="16" xfId="144"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0" xfId="0" applyNumberFormat="1" applyFont="1" applyBorder="1" applyAlignment="1" applyProtection="1">
      <alignment horizontal="center"/>
      <protection/>
    </xf>
    <xf numFmtId="0" fontId="78" fillId="0" borderId="51"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2" xfId="0" applyFont="1" applyBorder="1" applyAlignment="1" applyProtection="1">
      <alignment horizontal="right"/>
      <protection/>
    </xf>
    <xf numFmtId="43" fontId="105" fillId="0" borderId="0" xfId="94"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37"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0" fontId="0" fillId="0" borderId="0" xfId="0" applyFill="1" applyBorder="1" applyAlignment="1" applyProtection="1">
      <alignment/>
      <protection locked="0"/>
    </xf>
    <xf numFmtId="0" fontId="9" fillId="0" borderId="53" xfId="0" applyFont="1" applyBorder="1" applyAlignment="1" applyProtection="1">
      <alignment/>
      <protection/>
    </xf>
    <xf numFmtId="0" fontId="9" fillId="0" borderId="54" xfId="0" applyFont="1" applyBorder="1" applyAlignment="1" applyProtection="1">
      <alignment/>
      <protection/>
    </xf>
    <xf numFmtId="0" fontId="28" fillId="0" borderId="55" xfId="0" applyFont="1" applyBorder="1" applyAlignment="1" applyProtection="1">
      <alignment vertical="distributed"/>
      <protection/>
    </xf>
    <xf numFmtId="15" fontId="30" fillId="0" borderId="56"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29" fillId="0" borderId="57"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58" xfId="0" applyNumberFormat="1" applyFont="1" applyFill="1" applyBorder="1" applyAlignment="1" applyProtection="1">
      <alignment horizontal="center"/>
      <protection/>
    </xf>
    <xf numFmtId="0" fontId="36" fillId="3" borderId="59" xfId="0" applyFont="1" applyFill="1" applyBorder="1" applyAlignment="1" applyProtection="1">
      <alignment horizontal="centerContinuous"/>
      <protection/>
    </xf>
    <xf numFmtId="15" fontId="102" fillId="0" borderId="43" xfId="0" applyNumberFormat="1" applyFont="1" applyFill="1" applyBorder="1" applyAlignment="1" applyProtection="1">
      <alignment horizontal="center" wrapText="1"/>
      <protection/>
    </xf>
    <xf numFmtId="15" fontId="102" fillId="0" borderId="60" xfId="0" applyNumberFormat="1" applyFont="1" applyFill="1" applyBorder="1" applyAlignment="1" applyProtection="1">
      <alignment horizontal="center" wrapText="1"/>
      <protection/>
    </xf>
    <xf numFmtId="0" fontId="40" fillId="0" borderId="57" xfId="0" applyFont="1" applyFill="1" applyBorder="1" applyAlignment="1" applyProtection="1">
      <alignment horizontal="center"/>
      <protection/>
    </xf>
    <xf numFmtId="0" fontId="40" fillId="0" borderId="61" xfId="0" applyFont="1" applyFill="1" applyBorder="1" applyAlignment="1" applyProtection="1">
      <alignment horizontal="center"/>
      <protection/>
    </xf>
    <xf numFmtId="0" fontId="36" fillId="3" borderId="62"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49"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3" xfId="0" applyBorder="1" applyAlignment="1" applyProtection="1">
      <alignment horizontal="center"/>
      <protection/>
    </xf>
    <xf numFmtId="0" fontId="0" fillId="0" borderId="43" xfId="0" applyFill="1" applyBorder="1" applyAlignment="1" applyProtection="1">
      <alignment horizontal="center"/>
      <protection/>
    </xf>
    <xf numFmtId="0" fontId="1" fillId="0" borderId="42" xfId="0" applyFont="1" applyFill="1" applyBorder="1" applyAlignment="1" applyProtection="1">
      <alignment horizontal="center" wrapText="1"/>
      <protection/>
    </xf>
    <xf numFmtId="0" fontId="0" fillId="0" borderId="42" xfId="0" applyBorder="1" applyAlignment="1">
      <alignment horizontal="center" wrapText="1"/>
    </xf>
    <xf numFmtId="0" fontId="31" fillId="0" borderId="42" xfId="0" applyFont="1" applyBorder="1" applyAlignment="1">
      <alignment horizontal="center" wrapText="1"/>
    </xf>
    <xf numFmtId="0" fontId="1" fillId="0" borderId="60" xfId="0" applyFont="1" applyFill="1" applyBorder="1" applyAlignment="1" applyProtection="1">
      <alignment horizontal="center" wrapText="1"/>
      <protection/>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4" xfId="0" applyFont="1" applyFill="1" applyBorder="1" applyAlignment="1" applyProtection="1">
      <alignment horizontal="center" vertical="center"/>
      <protection/>
    </xf>
    <xf numFmtId="43" fontId="106" fillId="0" borderId="22" xfId="144"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4" xfId="137" applyFont="1" applyFill="1" applyBorder="1" applyAlignment="1" applyProtection="1">
      <alignment horizontal="right"/>
      <protection/>
    </xf>
    <xf numFmtId="0" fontId="31" fillId="0" borderId="65" xfId="0" applyFont="1" applyFill="1" applyBorder="1" applyAlignment="1" applyProtection="1">
      <alignment wrapText="1"/>
      <protection/>
    </xf>
    <xf numFmtId="0" fontId="38" fillId="0" borderId="66"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7"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9"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44"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9" applyFont="1" applyAlignment="1" applyProtection="1">
      <alignment/>
      <protection/>
    </xf>
    <xf numFmtId="14" fontId="27" fillId="13" borderId="44" xfId="137" applyNumberFormat="1" applyFont="1" applyFill="1" applyBorder="1" applyAlignment="1" applyProtection="1">
      <alignment horizontal="center" vertical="center"/>
      <protection/>
    </xf>
    <xf numFmtId="43" fontId="27" fillId="13" borderId="44" xfId="137" applyFont="1" applyFill="1" applyBorder="1" applyAlignment="1" applyProtection="1">
      <alignment horizontal="center" vertical="center"/>
      <protection/>
    </xf>
    <xf numFmtId="15" fontId="27" fillId="13" borderId="44" xfId="137" applyNumberFormat="1" applyFont="1" applyFill="1" applyBorder="1" applyAlignment="1" applyProtection="1">
      <alignment horizontal="center" vertical="center"/>
      <protection/>
    </xf>
    <xf numFmtId="202" fontId="27" fillId="13" borderId="44" xfId="137" applyNumberFormat="1" applyFont="1" applyFill="1" applyBorder="1" applyAlignment="1" applyProtection="1">
      <alignment horizontal="center"/>
      <protection/>
    </xf>
    <xf numFmtId="3" fontId="27" fillId="13" borderId="44" xfId="137" applyNumberFormat="1" applyFont="1" applyFill="1" applyBorder="1" applyAlignment="1" applyProtection="1">
      <alignment horizontal="center"/>
      <protection/>
    </xf>
    <xf numFmtId="43" fontId="27" fillId="13" borderId="44" xfId="137" applyFont="1" applyFill="1" applyBorder="1" applyAlignment="1" applyProtection="1">
      <alignment horizontal="center"/>
      <protection/>
    </xf>
    <xf numFmtId="15" fontId="27" fillId="13" borderId="44" xfId="137" applyNumberFormat="1" applyFont="1" applyFill="1" applyBorder="1" applyAlignment="1" applyProtection="1">
      <alignment horizontal="center"/>
      <protection/>
    </xf>
    <xf numFmtId="43" fontId="91" fillId="0" borderId="0" xfId="0" applyNumberFormat="1" applyFont="1" applyAlignment="1">
      <alignment/>
    </xf>
    <xf numFmtId="0" fontId="38" fillId="0" borderId="42" xfId="0" applyFont="1" applyFill="1" applyBorder="1" applyAlignment="1" applyProtection="1">
      <alignment horizontal="center" wrapText="1"/>
      <protection/>
    </xf>
    <xf numFmtId="0" fontId="2" fillId="0" borderId="68"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49"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69" xfId="0" applyNumberFormat="1" applyFill="1" applyBorder="1" applyAlignment="1" applyProtection="1">
      <alignment/>
      <protection locked="0"/>
    </xf>
    <xf numFmtId="4" fontId="0" fillId="0" borderId="0" xfId="0" applyNumberFormat="1" applyAlignment="1" applyProtection="1">
      <alignment/>
      <protection/>
    </xf>
    <xf numFmtId="1" fontId="0" fillId="3" borderId="12" xfId="0" applyNumberFormat="1" applyFill="1" applyBorder="1" applyAlignment="1" applyProtection="1">
      <alignment horizontal="center"/>
      <protection locked="0"/>
    </xf>
    <xf numFmtId="1" fontId="0" fillId="3" borderId="58" xfId="0" applyNumberFormat="1" applyFill="1" applyBorder="1" applyAlignment="1" applyProtection="1">
      <alignment horizontal="center"/>
      <protection locked="0"/>
    </xf>
    <xf numFmtId="1" fontId="0" fillId="3" borderId="70" xfId="0" applyNumberFormat="1" applyFill="1" applyBorder="1" applyAlignment="1" applyProtection="1">
      <alignment horizontal="center"/>
      <protection locked="0"/>
    </xf>
    <xf numFmtId="1" fontId="0" fillId="3" borderId="71" xfId="0" applyNumberFormat="1" applyFill="1" applyBorder="1" applyAlignment="1" applyProtection="1">
      <alignment horizontal="center"/>
      <protection locked="0"/>
    </xf>
    <xf numFmtId="192" fontId="36" fillId="10" borderId="72" xfId="0" applyNumberFormat="1" applyFont="1" applyFill="1" applyBorder="1" applyAlignment="1" applyProtection="1">
      <alignment horizontal="center"/>
      <protection locked="0"/>
    </xf>
    <xf numFmtId="192" fontId="36" fillId="10" borderId="73" xfId="0" applyNumberFormat="1" applyFont="1" applyFill="1" applyBorder="1" applyAlignment="1" applyProtection="1">
      <alignment horizontal="center"/>
      <protection locked="0"/>
    </xf>
    <xf numFmtId="192" fontId="36" fillId="10" borderId="74" xfId="0" applyNumberFormat="1" applyFont="1" applyFill="1" applyBorder="1" applyAlignment="1" applyProtection="1">
      <alignment horizontal="center"/>
      <protection locked="0"/>
    </xf>
    <xf numFmtId="0" fontId="0" fillId="0" borderId="75"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4" xfId="137" applyFont="1" applyBorder="1" applyAlignment="1" applyProtection="1">
      <alignment horizontal="right"/>
      <protection/>
    </xf>
    <xf numFmtId="43" fontId="38" fillId="0" borderId="0" xfId="109" applyFont="1" applyFill="1" applyBorder="1" applyProtection="1">
      <alignment/>
      <protection/>
    </xf>
    <xf numFmtId="3" fontId="31" fillId="3" borderId="76" xfId="0" applyNumberFormat="1" applyFont="1" applyFill="1" applyBorder="1" applyAlignment="1" applyProtection="1">
      <alignment/>
      <protection locked="0"/>
    </xf>
    <xf numFmtId="3" fontId="31" fillId="3" borderId="77"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0"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78" xfId="64" applyNumberFormat="1" applyFont="1" applyFill="1" applyBorder="1" applyAlignment="1" applyProtection="1">
      <alignment/>
      <protection/>
    </xf>
    <xf numFmtId="3" fontId="24" fillId="3" borderId="79" xfId="64" applyNumberFormat="1" applyFont="1" applyFill="1" applyBorder="1" applyAlignment="1" applyProtection="1">
      <alignment/>
      <protection locked="0"/>
    </xf>
    <xf numFmtId="192" fontId="17" fillId="10" borderId="80"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1" xfId="64" applyNumberFormat="1" applyFont="1" applyFill="1" applyBorder="1" applyAlignment="1" applyProtection="1">
      <alignment/>
      <protection locked="0"/>
    </xf>
    <xf numFmtId="49" fontId="28" fillId="0" borderId="82" xfId="0" applyNumberFormat="1" applyFont="1" applyFill="1" applyBorder="1" applyAlignment="1" applyProtection="1">
      <alignment vertical="center" wrapText="1"/>
      <protection/>
    </xf>
    <xf numFmtId="0" fontId="28" fillId="0" borderId="83" xfId="0" applyNumberFormat="1" applyFont="1" applyFill="1" applyBorder="1" applyAlignment="1" applyProtection="1">
      <alignment horizontal="center" vertical="center" wrapText="1"/>
      <protection/>
    </xf>
    <xf numFmtId="49" fontId="29" fillId="0" borderId="84" xfId="0" applyNumberFormat="1" applyFont="1" applyFill="1" applyBorder="1" applyAlignment="1" applyProtection="1">
      <alignment wrapText="1"/>
      <protection locked="0"/>
    </xf>
    <xf numFmtId="0" fontId="0" fillId="0" borderId="85" xfId="0" applyBorder="1" applyAlignment="1" applyProtection="1">
      <alignment/>
      <protection/>
    </xf>
    <xf numFmtId="3" fontId="0" fillId="0" borderId="86"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69" xfId="0" applyNumberFormat="1" applyFill="1" applyBorder="1" applyAlignment="1" applyProtection="1">
      <alignment horizontal="left"/>
      <protection locked="0"/>
    </xf>
    <xf numFmtId="0" fontId="0" fillId="13" borderId="69" xfId="0" applyNumberFormat="1" applyFill="1" applyBorder="1" applyAlignment="1" applyProtection="1">
      <alignment/>
      <protection locked="0"/>
    </xf>
    <xf numFmtId="0" fontId="0" fillId="13" borderId="69" xfId="0" applyNumberFormat="1" applyFill="1" applyBorder="1" applyAlignment="1" applyProtection="1">
      <alignment horizontal="center"/>
      <protection locked="0"/>
    </xf>
    <xf numFmtId="43" fontId="0" fillId="3" borderId="87" xfId="144" applyFill="1" applyBorder="1" applyAlignment="1" applyProtection="1">
      <alignment vertical="center"/>
      <protection/>
    </xf>
    <xf numFmtId="0" fontId="0" fillId="0" borderId="22" xfId="0" applyBorder="1" applyAlignment="1" applyProtection="1">
      <alignment/>
      <protection/>
    </xf>
    <xf numFmtId="43" fontId="42" fillId="13" borderId="88" xfId="144" applyFont="1" applyFill="1" applyBorder="1" applyAlignment="1" applyProtection="1">
      <alignment horizontal="center" vertical="center"/>
      <protection/>
    </xf>
    <xf numFmtId="43" fontId="42" fillId="0" borderId="89" xfId="144" applyFont="1" applyFill="1" applyBorder="1" applyAlignment="1" applyProtection="1">
      <alignment vertical="center"/>
      <protection/>
    </xf>
    <xf numFmtId="0" fontId="0" fillId="0" borderId="90" xfId="0" applyNumberFormat="1" applyFill="1" applyBorder="1" applyAlignment="1">
      <alignment/>
    </xf>
    <xf numFmtId="15" fontId="30" fillId="0" borderId="91"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3" fontId="2" fillId="0" borderId="92" xfId="0" applyNumberFormat="1" applyFont="1" applyFill="1" applyBorder="1" applyAlignment="1" applyProtection="1">
      <alignment vertical="center"/>
      <protection/>
    </xf>
    <xf numFmtId="197" fontId="0" fillId="0" borderId="12" xfId="0" applyNumberFormat="1" applyFill="1" applyBorder="1" applyAlignment="1" applyProtection="1">
      <alignment horizontal="center"/>
      <protection/>
    </xf>
    <xf numFmtId="197" fontId="18" fillId="29" borderId="93" xfId="0" applyNumberFormat="1" applyFont="1" applyFill="1" applyBorder="1" applyAlignment="1" applyProtection="1">
      <alignment horizontal="center"/>
      <protection/>
    </xf>
    <xf numFmtId="197" fontId="24" fillId="29" borderId="93"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9"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94" xfId="0" applyFont="1" applyFill="1" applyBorder="1" applyAlignment="1" applyProtection="1">
      <alignment horizontal="center" vertical="center" wrapText="1"/>
      <protection/>
    </xf>
    <xf numFmtId="0" fontId="78" fillId="0" borderId="95" xfId="0" applyFont="1" applyFill="1" applyBorder="1" applyAlignment="1" applyProtection="1">
      <alignment horizontal="center"/>
      <protection/>
    </xf>
    <xf numFmtId="0" fontId="78" fillId="0" borderId="96" xfId="0" applyFont="1" applyFill="1" applyBorder="1" applyAlignment="1" applyProtection="1">
      <alignment horizontal="center"/>
      <protection/>
    </xf>
    <xf numFmtId="0" fontId="78" fillId="0" borderId="97" xfId="0" applyNumberFormat="1" applyFont="1" applyFill="1" applyBorder="1" applyAlignment="1" applyProtection="1">
      <alignment horizontal="center"/>
      <protection/>
    </xf>
    <xf numFmtId="0" fontId="78" fillId="0" borderId="98" xfId="0" applyNumberFormat="1" applyFont="1" applyFill="1" applyBorder="1" applyAlignment="1" applyProtection="1">
      <alignment horizontal="center"/>
      <protection/>
    </xf>
    <xf numFmtId="0" fontId="78" fillId="0" borderId="98" xfId="0" applyNumberFormat="1" applyFont="1" applyFill="1" applyBorder="1" applyAlignment="1" applyProtection="1">
      <alignment horizontal="center" vertical="center"/>
      <protection/>
    </xf>
    <xf numFmtId="0" fontId="78" fillId="0" borderId="99" xfId="0" applyNumberFormat="1" applyFont="1" applyFill="1" applyBorder="1" applyAlignment="1" applyProtection="1">
      <alignment horizontal="center" vertical="center"/>
      <protection/>
    </xf>
    <xf numFmtId="0" fontId="82" fillId="0" borderId="100" xfId="0" applyNumberFormat="1" applyFont="1" applyFill="1" applyBorder="1" applyAlignment="1" applyProtection="1">
      <alignment horizontal="center" vertical="center"/>
      <protection/>
    </xf>
    <xf numFmtId="0" fontId="82" fillId="0" borderId="101" xfId="0" applyNumberFormat="1" applyFont="1" applyFill="1" applyBorder="1" applyAlignment="1" applyProtection="1">
      <alignment horizontal="center" vertical="center"/>
      <protection/>
    </xf>
    <xf numFmtId="0" fontId="82" fillId="0" borderId="102" xfId="0" applyNumberFormat="1" applyFont="1" applyFill="1" applyBorder="1" applyAlignment="1" applyProtection="1">
      <alignment horizontal="center" vertical="center"/>
      <protection/>
    </xf>
    <xf numFmtId="0" fontId="78" fillId="0" borderId="103" xfId="0" applyFont="1" applyFill="1" applyBorder="1" applyAlignment="1" applyProtection="1">
      <alignment horizontal="center" vertical="center"/>
      <protection/>
    </xf>
    <xf numFmtId="0" fontId="78" fillId="0" borderId="104" xfId="0" applyFont="1" applyFill="1" applyBorder="1" applyAlignment="1" applyProtection="1">
      <alignment horizontal="center" vertical="center"/>
      <protection/>
    </xf>
    <xf numFmtId="0" fontId="78" fillId="0" borderId="105" xfId="0" applyFont="1" applyFill="1" applyBorder="1" applyAlignment="1" applyProtection="1">
      <alignment horizontal="center" vertical="center"/>
      <protection/>
    </xf>
    <xf numFmtId="0" fontId="78" fillId="0" borderId="106" xfId="0" applyFont="1" applyFill="1" applyBorder="1" applyAlignment="1" applyProtection="1">
      <alignment horizontal="center" vertical="center"/>
      <protection/>
    </xf>
    <xf numFmtId="0" fontId="2" fillId="0" borderId="107" xfId="0" applyFont="1" applyFill="1" applyBorder="1" applyAlignment="1" applyProtection="1">
      <alignment horizontal="center"/>
      <protection/>
    </xf>
    <xf numFmtId="192" fontId="17" fillId="10" borderId="104" xfId="0" applyNumberFormat="1" applyFont="1" applyFill="1" applyBorder="1" applyAlignment="1" applyProtection="1">
      <alignment horizontal="center"/>
      <protection locked="0"/>
    </xf>
    <xf numFmtId="197" fontId="0" fillId="2" borderId="12" xfId="0" applyNumberFormat="1" applyFill="1" applyBorder="1" applyAlignment="1" applyProtection="1">
      <alignment horizontal="center"/>
      <protection/>
    </xf>
    <xf numFmtId="197" fontId="0" fillId="0" borderId="12" xfId="0" applyNumberFormat="1" applyBorder="1" applyAlignment="1" applyProtection="1">
      <alignment horizontal="center"/>
      <protection/>
    </xf>
    <xf numFmtId="197" fontId="0" fillId="2" borderId="69" xfId="0" applyNumberFormat="1" applyFill="1" applyBorder="1" applyAlignment="1" applyProtection="1">
      <alignment horizontal="center"/>
      <protection/>
    </xf>
    <xf numFmtId="197" fontId="0" fillId="0" borderId="69"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2" fillId="30" borderId="92" xfId="0" applyFont="1" applyFill="1" applyBorder="1" applyAlignment="1" applyProtection="1">
      <alignment horizontal="center"/>
      <protection/>
    </xf>
    <xf numFmtId="3" fontId="2" fillId="28" borderId="92"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69" xfId="0" applyNumberFormat="1" applyFill="1" applyBorder="1" applyAlignment="1" applyProtection="1">
      <alignment/>
      <protection/>
    </xf>
    <xf numFmtId="3" fontId="0" fillId="0" borderId="69" xfId="0" applyNumberFormat="1" applyFill="1" applyBorder="1" applyAlignment="1" applyProtection="1">
      <alignment/>
      <protection/>
    </xf>
    <xf numFmtId="197" fontId="0" fillId="0" borderId="69" xfId="0" applyNumberFormat="1" applyFill="1" applyBorder="1" applyAlignment="1" applyProtection="1">
      <alignment horizontal="center"/>
      <protection/>
    </xf>
    <xf numFmtId="0" fontId="0" fillId="0" borderId="61" xfId="0" applyBorder="1" applyAlignment="1" applyProtection="1">
      <alignment horizontal="center" wrapText="1"/>
      <protection/>
    </xf>
    <xf numFmtId="3" fontId="1" fillId="0" borderId="69" xfId="64" applyNumberFormat="1" applyFont="1" applyFill="1" applyBorder="1" applyAlignment="1" applyProtection="1">
      <alignment horizontal="right"/>
      <protection/>
    </xf>
    <xf numFmtId="3" fontId="0" fillId="0" borderId="69"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197" fontId="0" fillId="0" borderId="59" xfId="0" applyNumberFormat="1" applyFill="1" applyBorder="1" applyAlignment="1" applyProtection="1">
      <alignment/>
      <protection/>
    </xf>
    <xf numFmtId="197" fontId="0" fillId="0" borderId="62" xfId="0" applyNumberFormat="1" applyFill="1" applyBorder="1" applyAlignment="1" applyProtection="1">
      <alignment/>
      <protection/>
    </xf>
    <xf numFmtId="0" fontId="38" fillId="12" borderId="0" xfId="0" applyFont="1" applyFill="1" applyBorder="1" applyAlignment="1" applyProtection="1">
      <alignment horizontal="left" vertical="top" wrapText="1"/>
      <protection locked="0"/>
    </xf>
    <xf numFmtId="210" fontId="0" fillId="0" borderId="0" xfId="0" applyNumberFormat="1" applyAlignment="1" applyProtection="1">
      <alignment/>
      <protection/>
    </xf>
    <xf numFmtId="43" fontId="0" fillId="0" borderId="0" xfId="64" applyFont="1" applyAlignment="1" applyProtection="1">
      <alignment/>
      <protection/>
    </xf>
    <xf numFmtId="43" fontId="0" fillId="0" borderId="0" xfId="0" applyNumberFormat="1" applyAlignment="1" applyProtection="1">
      <alignment/>
      <protection/>
    </xf>
    <xf numFmtId="43" fontId="99" fillId="0" borderId="0" xfId="0" applyNumberFormat="1" applyFont="1" applyFill="1" applyBorder="1" applyAlignment="1" applyProtection="1">
      <alignment horizontal="center" vertical="center"/>
      <protection/>
    </xf>
    <xf numFmtId="15" fontId="145" fillId="0" borderId="0" xfId="0" applyNumberFormat="1" applyFont="1" applyFill="1" applyBorder="1" applyAlignment="1" applyProtection="1">
      <alignment horizontal="center" vertical="center" wrapText="1"/>
      <protection/>
    </xf>
    <xf numFmtId="0" fontId="146" fillId="0" borderId="0" xfId="0" applyFont="1" applyAlignment="1" applyProtection="1">
      <alignment/>
      <protection/>
    </xf>
    <xf numFmtId="195" fontId="146" fillId="0" borderId="0" xfId="64" applyNumberFormat="1" applyFont="1" applyFill="1" applyBorder="1" applyAlignment="1" applyProtection="1">
      <alignment/>
      <protection locked="0"/>
    </xf>
    <xf numFmtId="43" fontId="146" fillId="0" borderId="0" xfId="64" applyFont="1" applyFill="1" applyBorder="1" applyAlignment="1" applyProtection="1">
      <alignment horizontal="center"/>
      <protection/>
    </xf>
    <xf numFmtId="4" fontId="146" fillId="0" borderId="0" xfId="0" applyNumberFormat="1" applyFont="1" applyAlignment="1" applyProtection="1">
      <alignment/>
      <protection/>
    </xf>
    <xf numFmtId="3" fontId="146" fillId="0" borderId="0" xfId="0" applyNumberFormat="1" applyFont="1" applyAlignment="1" applyProtection="1">
      <alignment horizontal="right"/>
      <protection/>
    </xf>
    <xf numFmtId="4" fontId="147" fillId="0" borderId="0" xfId="0" applyNumberFormat="1" applyFont="1" applyAlignment="1">
      <alignment/>
    </xf>
    <xf numFmtId="3" fontId="146" fillId="0" borderId="0" xfId="0" applyNumberFormat="1" applyFont="1" applyAlignment="1" applyProtection="1">
      <alignment/>
      <protection/>
    </xf>
    <xf numFmtId="43" fontId="0" fillId="0" borderId="0" xfId="64" applyFont="1" applyAlignment="1">
      <alignment/>
    </xf>
    <xf numFmtId="43" fontId="0" fillId="0" borderId="0" xfId="64" applyFont="1" applyAlignment="1">
      <alignment/>
    </xf>
    <xf numFmtId="43" fontId="144" fillId="0" borderId="0" xfId="0" applyNumberFormat="1" applyFont="1" applyAlignment="1">
      <alignment/>
    </xf>
    <xf numFmtId="43" fontId="0" fillId="3" borderId="0" xfId="144" applyFill="1" applyBorder="1" applyAlignment="1" applyProtection="1">
      <alignment vertical="center"/>
      <protection/>
    </xf>
    <xf numFmtId="43" fontId="9" fillId="0" borderId="0" xfId="0" applyNumberFormat="1" applyFont="1" applyFill="1" applyBorder="1" applyAlignment="1" applyProtection="1">
      <alignment/>
      <protection locked="0"/>
    </xf>
    <xf numFmtId="0" fontId="97" fillId="0" borderId="0" xfId="0" applyFont="1" applyFill="1" applyBorder="1" applyAlignment="1" applyProtection="1">
      <alignment horizontal="left"/>
      <protection/>
    </xf>
    <xf numFmtId="0" fontId="0" fillId="0" borderId="0" xfId="0" applyAlignment="1" applyProtection="1">
      <alignment horizontal="center"/>
      <protection/>
    </xf>
    <xf numFmtId="192" fontId="36" fillId="10" borderId="108" xfId="0" applyNumberFormat="1" applyFont="1" applyFill="1" applyBorder="1" applyAlignment="1" applyProtection="1">
      <alignment horizontal="center"/>
      <protection locked="0"/>
    </xf>
    <xf numFmtId="3" fontId="0" fillId="13" borderId="31" xfId="0" applyNumberFormat="1" applyFill="1" applyBorder="1" applyAlignment="1" applyProtection="1">
      <alignment horizontal="right" wrapText="1"/>
      <protection locked="0"/>
    </xf>
    <xf numFmtId="3" fontId="0" fillId="0" borderId="31" xfId="0" applyNumberFormat="1" applyBorder="1" applyAlignment="1" applyProtection="1">
      <alignment horizontal="right" wrapText="1"/>
      <protection/>
    </xf>
    <xf numFmtId="3" fontId="0" fillId="0" borderId="67" xfId="0" applyNumberFormat="1" applyBorder="1" applyAlignment="1" applyProtection="1">
      <alignment horizontal="right" wrapText="1"/>
      <protection/>
    </xf>
    <xf numFmtId="192" fontId="145" fillId="33" borderId="0" xfId="0" applyNumberFormat="1" applyFont="1" applyFill="1" applyBorder="1" applyAlignment="1" applyProtection="1">
      <alignment horizontal="center"/>
      <protection locked="0"/>
    </xf>
    <xf numFmtId="3" fontId="146" fillId="33" borderId="0" xfId="0" applyNumberFormat="1" applyFont="1" applyFill="1" applyBorder="1" applyAlignment="1" applyProtection="1">
      <alignment horizontal="right" wrapText="1"/>
      <protection locked="0"/>
    </xf>
    <xf numFmtId="3" fontId="146" fillId="33" borderId="0" xfId="0" applyNumberFormat="1" applyFont="1" applyFill="1" applyBorder="1" applyAlignment="1" applyProtection="1">
      <alignment horizontal="right" wrapText="1"/>
      <protection/>
    </xf>
    <xf numFmtId="192" fontId="36" fillId="10" borderId="12" xfId="0" applyNumberFormat="1" applyFont="1" applyFill="1" applyBorder="1" applyAlignment="1" applyProtection="1">
      <alignment horizontal="center"/>
      <protection locked="0"/>
    </xf>
    <xf numFmtId="0" fontId="28" fillId="0" borderId="109" xfId="0" applyNumberFormat="1" applyFont="1" applyFill="1" applyBorder="1" applyAlignment="1" applyProtection="1">
      <alignment horizontal="center" vertical="center" wrapText="1"/>
      <protection/>
    </xf>
    <xf numFmtId="3" fontId="1" fillId="3" borderId="110" xfId="64" applyNumberFormat="1" applyFont="1" applyFill="1" applyBorder="1" applyAlignment="1" applyProtection="1">
      <alignment/>
      <protection locked="0"/>
    </xf>
    <xf numFmtId="3" fontId="0" fillId="0" borderId="111" xfId="0" applyNumberFormat="1" applyBorder="1" applyAlignment="1" applyProtection="1">
      <alignment/>
      <protection/>
    </xf>
    <xf numFmtId="0" fontId="28" fillId="0" borderId="12"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xf>
    <xf numFmtId="3" fontId="17" fillId="3" borderId="81" xfId="64" applyNumberFormat="1" applyFont="1" applyFill="1" applyBorder="1" applyAlignment="1" applyProtection="1">
      <alignment/>
      <protection locked="0"/>
    </xf>
    <xf numFmtId="0" fontId="38" fillId="2" borderId="0" xfId="0" applyFont="1" applyFill="1" applyAlignment="1" applyProtection="1">
      <alignment horizontal="left"/>
      <protection locked="0"/>
    </xf>
    <xf numFmtId="3" fontId="2" fillId="28" borderId="92" xfId="0" applyNumberFormat="1" applyFont="1" applyFill="1" applyBorder="1" applyAlignment="1" applyProtection="1">
      <alignment horizontal="right" vertical="center"/>
      <protection locked="0"/>
    </xf>
    <xf numFmtId="3" fontId="31" fillId="0" borderId="112" xfId="0" applyNumberFormat="1" applyFont="1" applyBorder="1" applyAlignment="1" applyProtection="1">
      <alignment vertical="center" wrapText="1"/>
      <protection/>
    </xf>
    <xf numFmtId="9" fontId="18" fillId="2" borderId="113" xfId="119" applyFont="1" applyFill="1" applyBorder="1" applyAlignment="1">
      <alignment/>
    </xf>
    <xf numFmtId="9" fontId="38" fillId="0" borderId="0" xfId="119" applyFont="1" applyFill="1" applyBorder="1" applyAlignment="1" applyProtection="1">
      <alignment vertical="center"/>
      <protection locked="0"/>
    </xf>
    <xf numFmtId="9" fontId="18" fillId="2" borderId="113" xfId="119" applyFont="1" applyFill="1" applyBorder="1" applyAlignment="1">
      <alignment horizontal="center"/>
    </xf>
    <xf numFmtId="0" fontId="15" fillId="0" borderId="0" xfId="0" applyFont="1" applyFill="1" applyBorder="1" applyAlignment="1">
      <alignment/>
    </xf>
    <xf numFmtId="3" fontId="18" fillId="0" borderId="0" xfId="0" applyNumberFormat="1" applyFont="1" applyFill="1" applyBorder="1" applyAlignment="1">
      <alignment horizontal="right"/>
    </xf>
    <xf numFmtId="3" fontId="18" fillId="0" borderId="0" xfId="64" applyNumberFormat="1" applyFont="1" applyFill="1" applyBorder="1" applyAlignment="1">
      <alignment/>
    </xf>
    <xf numFmtId="9" fontId="18" fillId="0" borderId="0" xfId="119" applyFont="1" applyFill="1" applyBorder="1" applyAlignment="1">
      <alignment/>
    </xf>
    <xf numFmtId="9" fontId="18" fillId="0" borderId="0" xfId="119" applyNumberFormat="1" applyFont="1" applyFill="1" applyBorder="1" applyAlignment="1">
      <alignment/>
    </xf>
    <xf numFmtId="0" fontId="18" fillId="0" borderId="0" xfId="0" applyFont="1" applyFill="1" applyBorder="1" applyAlignment="1">
      <alignment/>
    </xf>
    <xf numFmtId="9" fontId="18" fillId="0" borderId="0" xfId="119" applyFont="1" applyFill="1" applyBorder="1" applyAlignment="1">
      <alignment horizontal="center"/>
    </xf>
    <xf numFmtId="0" fontId="24" fillId="0" borderId="0" xfId="0" applyFont="1" applyFill="1" applyBorder="1" applyAlignment="1">
      <alignment/>
    </xf>
    <xf numFmtId="9" fontId="38" fillId="0" borderId="0" xfId="119" applyFont="1" applyFill="1" applyBorder="1" applyAlignment="1" applyProtection="1">
      <alignment vertical="center" wrapText="1"/>
      <protection locked="0"/>
    </xf>
    <xf numFmtId="49" fontId="135" fillId="0" borderId="84" xfId="0" applyNumberFormat="1" applyFont="1" applyFill="1" applyBorder="1" applyAlignment="1" applyProtection="1">
      <alignment wrapText="1"/>
      <protection locked="0"/>
    </xf>
    <xf numFmtId="9" fontId="97" fillId="3" borderId="81" xfId="120" applyFont="1" applyFill="1" applyBorder="1" applyAlignment="1" applyProtection="1">
      <alignment/>
      <protection locked="0"/>
    </xf>
    <xf numFmtId="9" fontId="97" fillId="3" borderId="110" xfId="120" applyFont="1" applyFill="1" applyBorder="1" applyAlignment="1" applyProtection="1">
      <alignment/>
      <protection locked="0"/>
    </xf>
    <xf numFmtId="9" fontId="97" fillId="3" borderId="81" xfId="119" applyFont="1" applyFill="1" applyBorder="1" applyAlignment="1" applyProtection="1">
      <alignment/>
      <protection locked="0"/>
    </xf>
    <xf numFmtId="9" fontId="97" fillId="3" borderId="110" xfId="119" applyFont="1" applyFill="1" applyBorder="1" applyAlignment="1" applyProtection="1">
      <alignment/>
      <protection locked="0"/>
    </xf>
    <xf numFmtId="0" fontId="148" fillId="0" borderId="12" xfId="0" applyFont="1" applyFill="1" applyBorder="1" applyAlignment="1" applyProtection="1">
      <alignment/>
      <protection/>
    </xf>
    <xf numFmtId="9" fontId="85" fillId="3" borderId="81" xfId="119" applyFont="1" applyFill="1" applyBorder="1" applyAlignment="1" applyProtection="1">
      <alignment/>
      <protection locked="0"/>
    </xf>
    <xf numFmtId="0" fontId="148" fillId="0" borderId="85" xfId="0" applyFont="1" applyBorder="1" applyAlignment="1" applyProtection="1">
      <alignment/>
      <protection/>
    </xf>
    <xf numFmtId="9" fontId="148" fillId="0" borderId="86" xfId="120" applyFont="1" applyBorder="1" applyAlignment="1" applyProtection="1">
      <alignment/>
      <protection/>
    </xf>
    <xf numFmtId="3" fontId="148" fillId="0" borderId="0" xfId="0" applyNumberFormat="1" applyFont="1" applyFill="1" applyBorder="1" applyAlignment="1" applyProtection="1">
      <alignment/>
      <protection/>
    </xf>
    <xf numFmtId="3" fontId="148" fillId="0" borderId="0" xfId="0" applyNumberFormat="1" applyFont="1" applyAlignment="1" applyProtection="1">
      <alignment/>
      <protection/>
    </xf>
    <xf numFmtId="0" fontId="148" fillId="0" borderId="0" xfId="0" applyFont="1" applyBorder="1" applyAlignment="1" applyProtection="1">
      <alignment/>
      <protection/>
    </xf>
    <xf numFmtId="3" fontId="148" fillId="0" borderId="0" xfId="0" applyNumberFormat="1" applyFont="1" applyBorder="1" applyAlignment="1" applyProtection="1">
      <alignment/>
      <protection/>
    </xf>
    <xf numFmtId="0" fontId="0" fillId="0" borderId="0" xfId="0" applyAlignment="1">
      <alignment/>
    </xf>
    <xf numFmtId="0" fontId="0" fillId="0" borderId="0" xfId="0" applyAlignment="1" applyProtection="1">
      <alignment/>
      <protection/>
    </xf>
    <xf numFmtId="0" fontId="0" fillId="0" borderId="0" xfId="0" applyFill="1" applyAlignment="1">
      <alignment/>
    </xf>
    <xf numFmtId="3" fontId="0" fillId="0" borderId="0" xfId="0" applyNumberFormat="1" applyAlignment="1" applyProtection="1">
      <alignment/>
      <protection/>
    </xf>
    <xf numFmtId="0" fontId="0" fillId="0" borderId="0" xfId="0" applyBorder="1" applyAlignment="1" applyProtection="1">
      <alignment/>
      <protection/>
    </xf>
    <xf numFmtId="3" fontId="0" fillId="0" borderId="0" xfId="0" applyNumberFormat="1" applyBorder="1" applyAlignment="1" applyProtection="1">
      <alignment/>
      <protection/>
    </xf>
    <xf numFmtId="3" fontId="0" fillId="0" borderId="0" xfId="0" applyNumberFormat="1" applyFill="1" applyBorder="1" applyAlignment="1" applyProtection="1">
      <alignment/>
      <protection/>
    </xf>
    <xf numFmtId="0" fontId="134" fillId="0" borderId="12" xfId="0" applyNumberFormat="1" applyFont="1" applyFill="1" applyBorder="1" applyAlignment="1" applyProtection="1">
      <alignment horizontal="center" vertical="center" wrapText="1"/>
      <protection/>
    </xf>
    <xf numFmtId="0" fontId="134" fillId="0" borderId="109" xfId="0" applyNumberFormat="1" applyFont="1" applyFill="1" applyBorder="1" applyAlignment="1" applyProtection="1">
      <alignment horizontal="center" vertical="center" wrapText="1"/>
      <protection/>
    </xf>
    <xf numFmtId="0" fontId="134" fillId="0" borderId="83" xfId="0" applyNumberFormat="1" applyFont="1" applyFill="1" applyBorder="1" applyAlignment="1" applyProtection="1">
      <alignment horizontal="center" vertical="center" wrapText="1"/>
      <protection/>
    </xf>
    <xf numFmtId="49" fontId="134" fillId="0" borderId="82" xfId="0" applyNumberFormat="1" applyFont="1" applyFill="1" applyBorder="1" applyAlignment="1" applyProtection="1">
      <alignment vertical="center" wrapText="1"/>
      <protection/>
    </xf>
    <xf numFmtId="3" fontId="0" fillId="0" borderId="0" xfId="0" applyNumberFormat="1" applyAlignment="1" applyProtection="1">
      <alignment/>
      <protection/>
    </xf>
    <xf numFmtId="43" fontId="20" fillId="34" borderId="0" xfId="94"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6" xfId="0" applyFont="1" applyBorder="1" applyAlignment="1">
      <alignment horizontal="justify" vertical="center" wrapText="1"/>
    </xf>
    <xf numFmtId="0" fontId="90" fillId="0" borderId="47"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6" xfId="0" applyFont="1" applyBorder="1" applyAlignment="1">
      <alignment horizontal="left" vertical="center" wrapText="1"/>
    </xf>
    <xf numFmtId="0" fontId="66" fillId="0" borderId="47" xfId="0" applyFont="1" applyBorder="1" applyAlignment="1">
      <alignment horizontal="left" vertical="center" wrapText="1"/>
    </xf>
    <xf numFmtId="0" fontId="88" fillId="3" borderId="31" xfId="0" applyFont="1" applyFill="1" applyBorder="1" applyAlignment="1">
      <alignment horizontal="center"/>
    </xf>
    <xf numFmtId="0" fontId="88" fillId="3" borderId="46" xfId="0" applyFont="1" applyFill="1" applyBorder="1" applyAlignment="1">
      <alignment horizontal="center"/>
    </xf>
    <xf numFmtId="0" fontId="88" fillId="3" borderId="47" xfId="0" applyFont="1" applyFill="1" applyBorder="1" applyAlignment="1">
      <alignment horizontal="center"/>
    </xf>
    <xf numFmtId="43" fontId="89" fillId="0" borderId="31" xfId="0" applyNumberFormat="1" applyFont="1" applyBorder="1" applyAlignment="1">
      <alignment horizontal="justify" vertical="center" wrapText="1"/>
    </xf>
    <xf numFmtId="0" fontId="89" fillId="0" borderId="46" xfId="0" applyFont="1" applyBorder="1" applyAlignment="1">
      <alignment horizontal="justify" vertical="center"/>
    </xf>
    <xf numFmtId="0" fontId="89" fillId="0" borderId="47" xfId="0" applyFont="1" applyBorder="1" applyAlignment="1">
      <alignment horizontal="justify" vertical="center"/>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43" fontId="20" fillId="26" borderId="0" xfId="103" applyFont="1" applyFill="1" applyAlignment="1" applyProtection="1">
      <alignment horizontal="center" vertical="center"/>
      <protection/>
    </xf>
    <xf numFmtId="0" fontId="87" fillId="0" borderId="0" xfId="0" applyFont="1" applyAlignment="1">
      <alignment horizontal="center"/>
    </xf>
    <xf numFmtId="9" fontId="90" fillId="0" borderId="31" xfId="119" applyFont="1" applyBorder="1" applyAlignment="1">
      <alignment horizontal="justify" vertical="center" wrapText="1"/>
    </xf>
    <xf numFmtId="9" fontId="90" fillId="0" borderId="46" xfId="119" applyFont="1" applyBorder="1" applyAlignment="1">
      <alignment horizontal="justify" vertical="center" wrapText="1"/>
    </xf>
    <xf numFmtId="9" fontId="90" fillId="0" borderId="47" xfId="119" applyFont="1" applyBorder="1" applyAlignment="1">
      <alignment horizontal="justify" vertical="center" wrapText="1"/>
    </xf>
    <xf numFmtId="43" fontId="89" fillId="0" borderId="31" xfId="0" applyNumberFormat="1" applyFont="1" applyBorder="1" applyAlignment="1">
      <alignment horizontal="left" vertical="center" wrapText="1"/>
    </xf>
    <xf numFmtId="0" fontId="89" fillId="0" borderId="46" xfId="0" applyFont="1" applyBorder="1" applyAlignment="1">
      <alignment horizontal="left" vertical="center" wrapText="1"/>
    </xf>
    <xf numFmtId="0" fontId="89" fillId="0" borderId="47" xfId="0" applyFont="1" applyBorder="1" applyAlignment="1">
      <alignment horizontal="left" vertical="center" wrapText="1"/>
    </xf>
    <xf numFmtId="0" fontId="89" fillId="0" borderId="46" xfId="0" applyFont="1" applyBorder="1" applyAlignment="1">
      <alignment horizontal="left" vertical="center"/>
    </xf>
    <xf numFmtId="0" fontId="89" fillId="0" borderId="47" xfId="0" applyFont="1" applyBorder="1" applyAlignment="1">
      <alignment horizontal="left" vertical="center"/>
    </xf>
    <xf numFmtId="0" fontId="0" fillId="0" borderId="114" xfId="0" applyBorder="1" applyAlignment="1">
      <alignment horizontal="center"/>
    </xf>
    <xf numFmtId="0" fontId="0" fillId="0" borderId="114"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6" xfId="0" applyFont="1" applyFill="1" applyBorder="1" applyAlignment="1">
      <alignment horizontal="center"/>
    </xf>
    <xf numFmtId="0" fontId="88" fillId="13" borderId="47"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6" xfId="0" applyFont="1" applyFill="1" applyBorder="1" applyAlignment="1">
      <alignment horizontal="center" vertical="center"/>
    </xf>
    <xf numFmtId="0" fontId="17" fillId="12" borderId="47"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6" xfId="0" applyFont="1" applyFill="1" applyBorder="1" applyAlignment="1">
      <alignment horizontal="center" vertical="center"/>
    </xf>
    <xf numFmtId="0" fontId="27" fillId="12" borderId="47"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6" xfId="0" applyFont="1" applyFill="1" applyBorder="1" applyAlignment="1">
      <alignment horizontal="center" wrapText="1"/>
    </xf>
    <xf numFmtId="0" fontId="27" fillId="12" borderId="47" xfId="0" applyFont="1" applyFill="1" applyBorder="1" applyAlignment="1">
      <alignment horizontal="center" wrapText="1"/>
    </xf>
    <xf numFmtId="0" fontId="27" fillId="12" borderId="31" xfId="0" applyFont="1" applyFill="1" applyBorder="1" applyAlignment="1">
      <alignment horizontal="center"/>
    </xf>
    <xf numFmtId="0" fontId="27" fillId="12" borderId="46" xfId="0" applyFont="1" applyFill="1" applyBorder="1" applyAlignment="1">
      <alignment horizontal="center"/>
    </xf>
    <xf numFmtId="0" fontId="27" fillId="12" borderId="47" xfId="0" applyFont="1" applyFill="1" applyBorder="1" applyAlignment="1">
      <alignment horizontal="center"/>
    </xf>
    <xf numFmtId="0" fontId="112" fillId="0" borderId="31" xfId="0" applyFont="1" applyBorder="1" applyAlignment="1">
      <alignment horizontal="justify" vertical="center" wrapText="1"/>
    </xf>
    <xf numFmtId="0" fontId="112" fillId="0" borderId="46" xfId="0" applyFont="1" applyBorder="1" applyAlignment="1">
      <alignment horizontal="justify" vertical="center" wrapText="1"/>
    </xf>
    <xf numFmtId="0" fontId="112" fillId="0" borderId="47"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6" xfId="0" applyFont="1" applyBorder="1" applyAlignment="1">
      <alignment horizontal="left" vertical="center" wrapText="1"/>
    </xf>
    <xf numFmtId="0" fontId="109" fillId="0" borderId="47" xfId="0" applyFont="1" applyBorder="1" applyAlignment="1">
      <alignment horizontal="left" vertical="center" wrapText="1"/>
    </xf>
    <xf numFmtId="0" fontId="66" fillId="0" borderId="115" xfId="0" applyFont="1" applyBorder="1" applyAlignment="1">
      <alignment horizontal="left" vertical="center" wrapText="1"/>
    </xf>
    <xf numFmtId="0" fontId="66" fillId="0" borderId="114" xfId="0" applyFont="1" applyBorder="1" applyAlignment="1">
      <alignment horizontal="left" vertical="center" wrapText="1"/>
    </xf>
    <xf numFmtId="0" fontId="66" fillId="0" borderId="116" xfId="0" applyFont="1" applyBorder="1" applyAlignment="1">
      <alignment horizontal="left" vertical="center" wrapText="1"/>
    </xf>
    <xf numFmtId="0" fontId="66" fillId="0" borderId="68" xfId="0" applyFont="1" applyBorder="1" applyAlignment="1">
      <alignment horizontal="left" vertical="center" wrapText="1"/>
    </xf>
    <xf numFmtId="0" fontId="66" fillId="0" borderId="104" xfId="0" applyFont="1" applyBorder="1" applyAlignment="1">
      <alignment horizontal="left" vertical="center" wrapText="1"/>
    </xf>
    <xf numFmtId="0" fontId="66" fillId="0" borderId="106"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0" fontId="66" fillId="0" borderId="115" xfId="0" applyFont="1" applyBorder="1" applyAlignment="1">
      <alignment horizontal="justify" wrapText="1"/>
    </xf>
    <xf numFmtId="0" fontId="66" fillId="0" borderId="114" xfId="0" applyFont="1" applyBorder="1" applyAlignment="1">
      <alignment horizontal="justify" wrapText="1"/>
    </xf>
    <xf numFmtId="0" fontId="66" fillId="0" borderId="116" xfId="0" applyFont="1" applyBorder="1" applyAlignment="1">
      <alignment horizontal="justify" wrapText="1"/>
    </xf>
    <xf numFmtId="0" fontId="90" fillId="0" borderId="68" xfId="0" applyFont="1" applyBorder="1" applyAlignment="1">
      <alignment horizontal="justify" vertical="center" wrapText="1"/>
    </xf>
    <xf numFmtId="0" fontId="90" fillId="0" borderId="104" xfId="0" applyFont="1" applyBorder="1" applyAlignment="1">
      <alignment horizontal="justify" vertical="center" wrapText="1"/>
    </xf>
    <xf numFmtId="0" fontId="90" fillId="0" borderId="106"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6"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0" fontId="112" fillId="0" borderId="68" xfId="0" applyFont="1" applyBorder="1" applyAlignment="1">
      <alignment horizontal="justify" vertical="center" wrapText="1"/>
    </xf>
    <xf numFmtId="0" fontId="112" fillId="0" borderId="104" xfId="0" applyFont="1" applyBorder="1" applyAlignment="1">
      <alignment horizontal="justify" vertical="center" wrapText="1"/>
    </xf>
    <xf numFmtId="0" fontId="112" fillId="0" borderId="106" xfId="0" applyFont="1" applyBorder="1" applyAlignment="1">
      <alignment horizontal="justify" vertical="center" wrapText="1"/>
    </xf>
    <xf numFmtId="0" fontId="66" fillId="0" borderId="31" xfId="0" applyFont="1" applyBorder="1" applyAlignment="1">
      <alignment horizontal="justify" vertical="center" wrapText="1"/>
    </xf>
    <xf numFmtId="43" fontId="89" fillId="0" borderId="115" xfId="0" applyNumberFormat="1" applyFont="1" applyBorder="1" applyAlignment="1">
      <alignment horizontal="left" vertical="center" wrapText="1"/>
    </xf>
    <xf numFmtId="0" fontId="89" fillId="0" borderId="114" xfId="0" applyFont="1" applyBorder="1" applyAlignment="1">
      <alignment horizontal="left" vertical="center" wrapText="1"/>
    </xf>
    <xf numFmtId="0" fontId="89" fillId="0" borderId="116" xfId="0" applyFont="1" applyBorder="1" applyAlignment="1">
      <alignment horizontal="left" vertical="center" wrapText="1"/>
    </xf>
    <xf numFmtId="0" fontId="89" fillId="0" borderId="68" xfId="0" applyFont="1" applyBorder="1" applyAlignment="1">
      <alignment horizontal="left" vertical="center" wrapText="1"/>
    </xf>
    <xf numFmtId="0" fontId="89" fillId="0" borderId="104" xfId="0" applyFont="1" applyBorder="1" applyAlignment="1">
      <alignment horizontal="left" vertical="center" wrapText="1"/>
    </xf>
    <xf numFmtId="0" fontId="89" fillId="0" borderId="106" xfId="0" applyFont="1" applyBorder="1" applyAlignment="1">
      <alignment horizontal="left" vertical="center" wrapText="1"/>
    </xf>
    <xf numFmtId="0" fontId="66" fillId="0" borderId="46" xfId="0" applyFont="1" applyBorder="1" applyAlignment="1">
      <alignment horizontal="justify" vertical="center" wrapText="1"/>
    </xf>
    <xf numFmtId="0" fontId="66" fillId="0" borderId="47"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6" xfId="0" applyFont="1" applyBorder="1" applyAlignment="1" applyProtection="1">
      <alignment vertical="center" wrapText="1"/>
      <protection locked="0"/>
    </xf>
    <xf numFmtId="0" fontId="90" fillId="0" borderId="47"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6" xfId="0" applyFont="1" applyFill="1" applyBorder="1" applyAlignment="1">
      <alignment vertical="center" wrapText="1"/>
    </xf>
    <xf numFmtId="0" fontId="90" fillId="12" borderId="47" xfId="0" applyFont="1" applyFill="1" applyBorder="1" applyAlignment="1">
      <alignment vertical="center" wrapText="1"/>
    </xf>
    <xf numFmtId="0" fontId="90" fillId="0" borderId="46" xfId="0" applyFont="1" applyBorder="1" applyAlignment="1" applyProtection="1">
      <alignment horizontal="left" vertical="center" wrapText="1"/>
      <protection locked="0"/>
    </xf>
    <xf numFmtId="0" fontId="90" fillId="0" borderId="47"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6" xfId="0" applyFont="1" applyFill="1" applyBorder="1" applyAlignment="1" applyProtection="1">
      <alignment vertical="center" wrapText="1"/>
      <protection locked="0"/>
    </xf>
    <xf numFmtId="0" fontId="90" fillId="0" borderId="47"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6" xfId="0" applyNumberFormat="1" applyFont="1" applyBorder="1" applyAlignment="1" applyProtection="1">
      <alignment horizontal="left" vertical="center" wrapText="1"/>
      <protection locked="0"/>
    </xf>
    <xf numFmtId="0" fontId="66" fillId="0" borderId="47"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6" xfId="0" applyFont="1" applyFill="1" applyBorder="1" applyAlignment="1" applyProtection="1">
      <alignment vertical="center" wrapText="1"/>
      <protection locked="0"/>
    </xf>
    <xf numFmtId="0" fontId="95" fillId="0" borderId="47"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6" xfId="0" applyFont="1" applyBorder="1" applyAlignment="1" applyProtection="1">
      <alignment vertical="center" wrapText="1"/>
      <protection locked="0"/>
    </xf>
    <xf numFmtId="0" fontId="89" fillId="0" borderId="47" xfId="0" applyFont="1" applyBorder="1" applyAlignment="1" applyProtection="1">
      <alignment vertical="center" wrapText="1"/>
      <protection locked="0"/>
    </xf>
    <xf numFmtId="0" fontId="2" fillId="12" borderId="117" xfId="0" applyNumberFormat="1" applyFont="1" applyFill="1" applyBorder="1" applyAlignment="1" applyProtection="1">
      <alignment horizontal="center" vertical="center" wrapText="1"/>
      <protection locked="0"/>
    </xf>
    <xf numFmtId="0" fontId="2" fillId="12" borderId="118" xfId="0" applyNumberFormat="1" applyFont="1" applyFill="1" applyBorder="1" applyAlignment="1" applyProtection="1">
      <alignment horizontal="center" vertical="center" wrapText="1"/>
      <protection locked="0"/>
    </xf>
    <xf numFmtId="49" fontId="2" fillId="35" borderId="119" xfId="0" applyNumberFormat="1" applyFont="1" applyFill="1" applyBorder="1" applyAlignment="1" applyProtection="1">
      <alignment horizontal="left" vertical="center" wrapText="1"/>
      <protection locked="0"/>
    </xf>
    <xf numFmtId="49" fontId="2" fillId="35" borderId="114" xfId="0" applyNumberFormat="1" applyFont="1" applyFill="1" applyBorder="1" applyAlignment="1" applyProtection="1">
      <alignment horizontal="left" vertical="center" wrapText="1"/>
      <protection locked="0"/>
    </xf>
    <xf numFmtId="49" fontId="2" fillId="35" borderId="120" xfId="0" applyNumberFormat="1" applyFont="1" applyFill="1" applyBorder="1" applyAlignment="1" applyProtection="1">
      <alignment horizontal="left" vertical="center" wrapText="1"/>
      <protection locked="0"/>
    </xf>
    <xf numFmtId="49" fontId="2" fillId="35" borderId="103" xfId="0" applyNumberFormat="1" applyFont="1" applyFill="1" applyBorder="1" applyAlignment="1" applyProtection="1">
      <alignment horizontal="left" vertical="center" wrapText="1"/>
      <protection locked="0"/>
    </xf>
    <xf numFmtId="49" fontId="2" fillId="35" borderId="104" xfId="0" applyNumberFormat="1" applyFont="1" applyFill="1" applyBorder="1" applyAlignment="1" applyProtection="1">
      <alignment horizontal="left" vertical="center" wrapText="1"/>
      <protection locked="0"/>
    </xf>
    <xf numFmtId="49" fontId="2" fillId="35" borderId="121" xfId="0" applyNumberFormat="1" applyFont="1" applyFill="1" applyBorder="1" applyAlignment="1" applyProtection="1">
      <alignment horizontal="left" vertical="center" wrapText="1"/>
      <protection locked="0"/>
    </xf>
    <xf numFmtId="49" fontId="2" fillId="28" borderId="119" xfId="0" applyNumberFormat="1" applyFont="1" applyFill="1" applyBorder="1" applyAlignment="1" applyProtection="1">
      <alignment horizontal="left" vertical="center" wrapText="1"/>
      <protection locked="0"/>
    </xf>
    <xf numFmtId="49" fontId="2" fillId="28" borderId="114" xfId="0" applyNumberFormat="1" applyFont="1" applyFill="1" applyBorder="1" applyAlignment="1" applyProtection="1">
      <alignment horizontal="left" vertical="center" wrapText="1"/>
      <protection locked="0"/>
    </xf>
    <xf numFmtId="49" fontId="2" fillId="28" borderId="120" xfId="0" applyNumberFormat="1" applyFont="1" applyFill="1" applyBorder="1" applyAlignment="1" applyProtection="1">
      <alignment horizontal="left" vertical="center" wrapText="1"/>
      <protection locked="0"/>
    </xf>
    <xf numFmtId="49" fontId="2" fillId="28" borderId="122"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23" xfId="0" applyNumberFormat="1" applyFont="1" applyFill="1" applyBorder="1" applyAlignment="1" applyProtection="1">
      <alignment horizontal="left" vertical="center" wrapText="1"/>
      <protection locked="0"/>
    </xf>
    <xf numFmtId="0" fontId="2" fillId="28" borderId="124" xfId="0" applyNumberFormat="1" applyFont="1" applyFill="1" applyBorder="1" applyAlignment="1" applyProtection="1">
      <alignment horizontal="center" vertical="center" wrapText="1"/>
      <protection locked="0"/>
    </xf>
    <xf numFmtId="0" fontId="2" fillId="12" borderId="125" xfId="0" applyNumberFormat="1" applyFont="1" applyFill="1" applyBorder="1" applyAlignment="1" applyProtection="1">
      <alignment horizontal="center" vertical="center" wrapText="1"/>
      <protection locked="0"/>
    </xf>
    <xf numFmtId="0" fontId="2" fillId="12" borderId="105" xfId="0" applyNumberFormat="1" applyFont="1" applyFill="1" applyBorder="1" applyAlignment="1" applyProtection="1">
      <alignment horizontal="center" vertical="center" wrapText="1"/>
      <protection locked="0"/>
    </xf>
    <xf numFmtId="9" fontId="149" fillId="33" borderId="0" xfId="119"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wrapText="1"/>
      <protection/>
    </xf>
    <xf numFmtId="0" fontId="2" fillId="0" borderId="126" xfId="0" applyFont="1" applyFill="1" applyBorder="1" applyAlignment="1" applyProtection="1">
      <alignment horizontal="center" vertical="center" wrapText="1"/>
      <protection/>
    </xf>
    <xf numFmtId="0" fontId="2" fillId="12" borderId="124" xfId="0" applyNumberFormat="1" applyFont="1" applyFill="1" applyBorder="1" applyAlignment="1" applyProtection="1">
      <alignment horizontal="center" vertical="center" wrapText="1"/>
      <protection locked="0"/>
    </xf>
    <xf numFmtId="0" fontId="2" fillId="12" borderId="47" xfId="0" applyNumberFormat="1" applyFont="1" applyFill="1" applyBorder="1" applyAlignment="1" applyProtection="1">
      <alignment horizontal="center" vertical="center" wrapText="1"/>
      <protection locked="0"/>
    </xf>
    <xf numFmtId="0" fontId="2" fillId="28" borderId="127" xfId="0" applyNumberFormat="1" applyFont="1" applyFill="1" applyBorder="1" applyAlignment="1" applyProtection="1">
      <alignment horizontal="center" vertical="center" wrapText="1"/>
      <protection locked="0"/>
    </xf>
    <xf numFmtId="49" fontId="2" fillId="28" borderId="47" xfId="0" applyNumberFormat="1" applyFont="1" applyFill="1" applyBorder="1" applyAlignment="1" applyProtection="1">
      <alignment horizontal="center" vertical="center" wrapText="1"/>
      <protection locked="0"/>
    </xf>
    <xf numFmtId="49" fontId="2" fillId="28" borderId="126" xfId="0" applyNumberFormat="1" applyFont="1" applyFill="1" applyBorder="1" applyAlignment="1" applyProtection="1">
      <alignment horizontal="center" vertical="center" wrapText="1"/>
      <protection locked="0"/>
    </xf>
    <xf numFmtId="0" fontId="2" fillId="0" borderId="124" xfId="0" applyFont="1" applyFill="1" applyBorder="1" applyAlignment="1" applyProtection="1">
      <alignment horizontal="center" vertical="center" wrapText="1"/>
      <protection/>
    </xf>
    <xf numFmtId="0" fontId="2" fillId="30" borderId="47" xfId="0" applyFont="1" applyFill="1" applyBorder="1" applyAlignment="1" applyProtection="1">
      <alignment horizontal="center" vertical="center" wrapText="1"/>
      <protection/>
    </xf>
    <xf numFmtId="0" fontId="2" fillId="0" borderId="103" xfId="0" applyFont="1" applyFill="1" applyBorder="1" applyAlignment="1" applyProtection="1">
      <alignment horizontal="left" vertical="center" wrapText="1"/>
      <protection/>
    </xf>
    <xf numFmtId="0" fontId="2" fillId="0" borderId="104" xfId="0" applyFont="1" applyFill="1" applyBorder="1" applyAlignment="1" applyProtection="1">
      <alignment horizontal="left" vertical="center" wrapText="1"/>
      <protection/>
    </xf>
    <xf numFmtId="0" fontId="2" fillId="0" borderId="121" xfId="0" applyFont="1" applyFill="1" applyBorder="1" applyAlignment="1" applyProtection="1">
      <alignment horizontal="left" vertical="center" wrapText="1"/>
      <protection/>
    </xf>
    <xf numFmtId="0" fontId="2" fillId="0" borderId="128" xfId="0" applyFont="1" applyFill="1" applyBorder="1" applyAlignment="1" applyProtection="1">
      <alignment horizontal="left" vertical="center" wrapText="1"/>
      <protection/>
    </xf>
    <xf numFmtId="0" fontId="2" fillId="0" borderId="129" xfId="0" applyFont="1" applyFill="1" applyBorder="1" applyAlignment="1" applyProtection="1">
      <alignment horizontal="left" vertical="center" wrapText="1"/>
      <protection/>
    </xf>
    <xf numFmtId="0" fontId="2" fillId="0" borderId="130" xfId="0" applyFont="1" applyFill="1" applyBorder="1" applyAlignment="1" applyProtection="1">
      <alignment horizontal="left" vertical="center" wrapText="1"/>
      <protection/>
    </xf>
    <xf numFmtId="49" fontId="2" fillId="28" borderId="119" xfId="0" applyNumberFormat="1" applyFont="1" applyFill="1" applyBorder="1" applyAlignment="1" applyProtection="1">
      <alignment horizontal="left" vertical="center" wrapText="1"/>
      <protection locked="0"/>
    </xf>
    <xf numFmtId="49" fontId="2" fillId="28" borderId="114" xfId="0" applyNumberFormat="1" applyFont="1" applyFill="1" applyBorder="1" applyAlignment="1" applyProtection="1">
      <alignment horizontal="left" vertical="center" wrapText="1"/>
      <protection locked="0"/>
    </xf>
    <xf numFmtId="49" fontId="2" fillId="28" borderId="120" xfId="0" applyNumberFormat="1" applyFont="1" applyFill="1" applyBorder="1" applyAlignment="1" applyProtection="1">
      <alignment horizontal="left" vertical="center" wrapText="1"/>
      <protection locked="0"/>
    </xf>
    <xf numFmtId="49" fontId="2" fillId="28" borderId="122"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23" xfId="0" applyNumberFormat="1" applyFont="1" applyFill="1" applyBorder="1" applyAlignment="1" applyProtection="1">
      <alignment horizontal="left" vertical="center" wrapText="1"/>
      <protection locked="0"/>
    </xf>
    <xf numFmtId="0" fontId="2" fillId="30" borderId="124" xfId="0" applyFont="1" applyFill="1" applyBorder="1" applyAlignment="1" applyProtection="1">
      <alignment horizontal="center" vertical="center" wrapText="1"/>
      <protection/>
    </xf>
    <xf numFmtId="9" fontId="37" fillId="0" borderId="131" xfId="119" applyFont="1" applyFill="1" applyBorder="1" applyAlignment="1" applyProtection="1">
      <alignment horizontal="center" vertical="center"/>
      <protection/>
    </xf>
    <xf numFmtId="9" fontId="37" fillId="0" borderId="132" xfId="119" applyFont="1" applyFill="1" applyBorder="1" applyAlignment="1" applyProtection="1">
      <alignment horizontal="center" vertical="center"/>
      <protection/>
    </xf>
    <xf numFmtId="9" fontId="37" fillId="0" borderId="133" xfId="119" applyFont="1" applyFill="1" applyBorder="1" applyAlignment="1" applyProtection="1">
      <alignment horizontal="center" vertical="center"/>
      <protection/>
    </xf>
    <xf numFmtId="49" fontId="2" fillId="12" borderId="47" xfId="0" applyNumberFormat="1" applyFont="1" applyFill="1" applyBorder="1" applyAlignment="1" applyProtection="1">
      <alignment horizontal="center" vertical="center" wrapText="1"/>
      <protection locked="0"/>
    </xf>
    <xf numFmtId="49" fontId="2" fillId="12" borderId="47" xfId="0" applyNumberFormat="1" applyFont="1" applyFill="1" applyBorder="1" applyAlignment="1" applyProtection="1">
      <alignment horizontal="center" vertical="center" wrapText="1"/>
      <protection locked="0"/>
    </xf>
    <xf numFmtId="49" fontId="2" fillId="28" borderId="117" xfId="0" applyNumberFormat="1" applyFont="1" applyFill="1" applyBorder="1" applyAlignment="1" applyProtection="1">
      <alignment horizontal="center" vertical="center" wrapText="1"/>
      <protection locked="0"/>
    </xf>
    <xf numFmtId="49" fontId="2" fillId="28" borderId="118" xfId="0" applyNumberFormat="1" applyFont="1" applyFill="1" applyBorder="1" applyAlignment="1" applyProtection="1">
      <alignment horizontal="center" vertical="center" wrapText="1"/>
      <protection locked="0"/>
    </xf>
    <xf numFmtId="0" fontId="0" fillId="24" borderId="134" xfId="0" applyFill="1" applyBorder="1" applyAlignment="1" applyProtection="1">
      <alignment horizontal="center"/>
      <protection/>
    </xf>
    <xf numFmtId="0" fontId="0" fillId="24" borderId="135" xfId="0" applyFill="1" applyBorder="1" applyAlignment="1" applyProtection="1">
      <alignment horizontal="center"/>
      <protection/>
    </xf>
    <xf numFmtId="0" fontId="0" fillId="24" borderId="136" xfId="0" applyFill="1" applyBorder="1" applyAlignment="1" applyProtection="1">
      <alignment horizontal="center"/>
      <protection/>
    </xf>
    <xf numFmtId="43" fontId="64" fillId="26" borderId="0" xfId="94" applyFont="1" applyFill="1" applyAlignment="1" applyProtection="1">
      <alignment horizontal="center" vertical="center"/>
      <protection/>
    </xf>
    <xf numFmtId="49" fontId="17" fillId="0" borderId="27" xfId="0" applyNumberFormat="1" applyFont="1" applyBorder="1" applyAlignment="1" applyProtection="1">
      <alignment horizontal="center"/>
      <protection/>
    </xf>
    <xf numFmtId="49" fontId="17" fillId="0" borderId="49" xfId="0" applyNumberFormat="1" applyFont="1" applyBorder="1" applyAlignment="1" applyProtection="1">
      <alignment horizontal="center"/>
      <protection/>
    </xf>
    <xf numFmtId="49" fontId="2" fillId="28" borderId="117" xfId="0" applyNumberFormat="1" applyFont="1" applyFill="1" applyBorder="1" applyAlignment="1" applyProtection="1">
      <alignment horizontal="center" vertical="center" wrapText="1"/>
      <protection locked="0"/>
    </xf>
    <xf numFmtId="0" fontId="2" fillId="0" borderId="127" xfId="0" applyFont="1" applyFill="1" applyBorder="1" applyAlignment="1" applyProtection="1">
      <alignment horizontal="center" vertical="center" wrapText="1"/>
      <protection/>
    </xf>
    <xf numFmtId="49" fontId="2" fillId="35" borderId="137"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31" xfId="0" applyNumberFormat="1" applyFont="1" applyFill="1" applyBorder="1" applyAlignment="1" applyProtection="1">
      <alignment horizontal="left" vertical="center" wrapText="1"/>
      <protection locked="0"/>
    </xf>
    <xf numFmtId="43" fontId="18" fillId="22" borderId="12" xfId="13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17" xfId="0" applyNumberFormat="1" applyFont="1" applyFill="1" applyBorder="1" applyAlignment="1" applyProtection="1">
      <alignment horizontal="center" vertical="center" wrapText="1"/>
      <protection locked="0"/>
    </xf>
    <xf numFmtId="49" fontId="2" fillId="12" borderId="118" xfId="0" applyNumberFormat="1" applyFont="1" applyFill="1" applyBorder="1" applyAlignment="1" applyProtection="1">
      <alignment horizontal="center" vertical="center" wrapText="1"/>
      <protection locked="0"/>
    </xf>
    <xf numFmtId="0" fontId="0" fillId="0" borderId="138" xfId="0" applyBorder="1" applyAlignment="1" applyProtection="1">
      <alignment horizontal="center"/>
      <protection/>
    </xf>
    <xf numFmtId="0" fontId="0" fillId="0" borderId="23" xfId="0" applyBorder="1" applyAlignment="1" applyProtection="1">
      <alignment horizontal="center"/>
      <protection/>
    </xf>
    <xf numFmtId="0" fontId="85" fillId="0" borderId="139" xfId="0" applyFont="1" applyBorder="1" applyAlignment="1" applyProtection="1">
      <alignment horizontal="right"/>
      <protection/>
    </xf>
    <xf numFmtId="0" fontId="17" fillId="0" borderId="139" xfId="0" applyFont="1" applyBorder="1" applyAlignment="1">
      <alignment/>
    </xf>
    <xf numFmtId="0" fontId="2" fillId="0" borderId="140" xfId="0" applyFont="1" applyFill="1" applyBorder="1" applyAlignment="1" applyProtection="1">
      <alignment horizontal="left" vertical="center" wrapText="1"/>
      <protection/>
    </xf>
    <xf numFmtId="0" fontId="2" fillId="0" borderId="141" xfId="0" applyFont="1" applyFill="1" applyBorder="1" applyAlignment="1" applyProtection="1">
      <alignment horizontal="left" vertical="center" wrapText="1"/>
      <protection/>
    </xf>
    <xf numFmtId="0" fontId="2" fillId="0" borderId="142" xfId="0" applyFont="1" applyFill="1" applyBorder="1" applyAlignment="1" applyProtection="1">
      <alignment horizontal="left" vertical="center" wrapText="1"/>
      <protection/>
    </xf>
    <xf numFmtId="0" fontId="2" fillId="0" borderId="143"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30" borderId="143" xfId="0" applyFont="1" applyFill="1" applyBorder="1" applyAlignment="1" applyProtection="1">
      <alignment horizontal="left" vertical="center" wrapText="1"/>
      <protection/>
    </xf>
    <xf numFmtId="0" fontId="2" fillId="30" borderId="46" xfId="0" applyFont="1" applyFill="1" applyBorder="1" applyAlignment="1" applyProtection="1">
      <alignment horizontal="left" vertical="center" wrapText="1"/>
      <protection/>
    </xf>
    <xf numFmtId="0" fontId="2" fillId="30" borderId="144" xfId="0" applyFont="1" applyFill="1" applyBorder="1" applyAlignment="1" applyProtection="1">
      <alignment horizontal="left" vertical="center" wrapText="1"/>
      <protection/>
    </xf>
    <xf numFmtId="0" fontId="0" fillId="12" borderId="31" xfId="0" applyFill="1" applyBorder="1" applyAlignment="1" applyProtection="1">
      <alignment horizontal="center"/>
      <protection/>
    </xf>
    <xf numFmtId="0" fontId="0" fillId="12" borderId="47" xfId="0" applyFill="1" applyBorder="1" applyAlignment="1" applyProtection="1">
      <alignment horizontal="center"/>
      <protection/>
    </xf>
    <xf numFmtId="0" fontId="0" fillId="0" borderId="145" xfId="0" applyFill="1" applyBorder="1" applyAlignment="1" applyProtection="1">
      <alignment horizontal="center" vertical="center"/>
      <protection locked="0"/>
    </xf>
    <xf numFmtId="0" fontId="0" fillId="0" borderId="146" xfId="0" applyFill="1" applyBorder="1" applyAlignment="1" applyProtection="1">
      <alignment horizontal="center" vertical="center"/>
      <protection locked="0"/>
    </xf>
    <xf numFmtId="0" fontId="0" fillId="0" borderId="147" xfId="0" applyFill="1" applyBorder="1" applyAlignment="1" applyProtection="1">
      <alignment horizontal="center" vertical="center"/>
      <protection locked="0"/>
    </xf>
    <xf numFmtId="43" fontId="17" fillId="0" borderId="148" xfId="0" applyNumberFormat="1" applyFont="1" applyBorder="1" applyAlignment="1" applyProtection="1">
      <alignment/>
      <protection/>
    </xf>
    <xf numFmtId="43" fontId="17" fillId="0" borderId="0" xfId="0" applyNumberFormat="1" applyFont="1" applyBorder="1" applyAlignment="1" applyProtection="1">
      <alignment/>
      <protection/>
    </xf>
    <xf numFmtId="3" fontId="0" fillId="0" borderId="31" xfId="0" applyNumberFormat="1" applyBorder="1" applyAlignment="1" applyProtection="1">
      <alignment horizontal="center"/>
      <protection locked="0"/>
    </xf>
    <xf numFmtId="3" fontId="0" fillId="0" borderId="47"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31" xfId="0" applyNumberFormat="1" applyBorder="1" applyAlignment="1" applyProtection="1">
      <alignment horizontal="center"/>
      <protection locked="0"/>
    </xf>
    <xf numFmtId="49" fontId="0" fillId="0" borderId="46"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49" xfId="0" applyFont="1" applyBorder="1" applyAlignment="1" applyProtection="1">
      <alignment horizontal="right"/>
      <protection/>
    </xf>
    <xf numFmtId="0" fontId="97" fillId="0" borderId="52" xfId="0" applyFont="1" applyBorder="1" applyAlignment="1" applyProtection="1">
      <alignment horizontal="right"/>
      <protection/>
    </xf>
    <xf numFmtId="15" fontId="1" fillId="0" borderId="12" xfId="137" applyNumberFormat="1" applyFont="1" applyFill="1" applyBorder="1" applyAlignment="1" applyProtection="1">
      <alignment horizontal="center"/>
      <protection locked="0"/>
    </xf>
    <xf numFmtId="15" fontId="0" fillId="0" borderId="12" xfId="137" applyNumberFormat="1" applyFill="1" applyBorder="1" applyAlignment="1" applyProtection="1">
      <alignment horizontal="center"/>
      <protection locked="0"/>
    </xf>
    <xf numFmtId="0" fontId="97" fillId="0" borderId="0" xfId="0" applyFont="1" applyAlignment="1" applyProtection="1">
      <alignment horizontal="right"/>
      <protection/>
    </xf>
    <xf numFmtId="49" fontId="0" fillId="0" borderId="31" xfId="0" applyNumberFormat="1" applyBorder="1" applyAlignment="1" applyProtection="1">
      <alignment horizontal="center" wrapText="1"/>
      <protection locked="0"/>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0" xfId="0" applyFill="1" applyBorder="1" applyAlignment="1" applyProtection="1">
      <alignment horizontal="center" vertical="center" textRotation="90"/>
      <protection/>
    </xf>
    <xf numFmtId="0" fontId="29" fillId="0" borderId="151" xfId="0" applyFont="1" applyBorder="1" applyAlignment="1" applyProtection="1">
      <alignment horizontal="center" wrapText="1"/>
      <protection/>
    </xf>
    <xf numFmtId="0" fontId="29" fillId="0" borderId="152" xfId="0" applyFont="1" applyBorder="1" applyAlignment="1" applyProtection="1">
      <alignment horizontal="center" wrapText="1"/>
      <protection/>
    </xf>
    <xf numFmtId="0" fontId="29" fillId="0" borderId="153" xfId="0" applyFont="1" applyBorder="1" applyAlignment="1" applyProtection="1">
      <alignment horizontal="center" wrapText="1"/>
      <protection/>
    </xf>
    <xf numFmtId="0" fontId="78" fillId="0" borderId="140" xfId="0" applyFont="1" applyFill="1" applyBorder="1" applyAlignment="1" applyProtection="1">
      <alignment horizontal="center" vertical="center"/>
      <protection/>
    </xf>
    <xf numFmtId="0" fontId="78" fillId="0" borderId="141" xfId="0" applyFont="1" applyFill="1" applyBorder="1" applyAlignment="1" applyProtection="1">
      <alignment horizontal="center" vertical="center"/>
      <protection/>
    </xf>
    <xf numFmtId="0" fontId="78" fillId="0" borderId="142" xfId="0" applyFont="1" applyFill="1" applyBorder="1" applyAlignment="1" applyProtection="1">
      <alignment horizontal="center" vertical="center"/>
      <protection/>
    </xf>
    <xf numFmtId="43" fontId="27" fillId="13" borderId="44" xfId="137" applyFont="1" applyFill="1" applyBorder="1" applyAlignment="1" applyProtection="1">
      <alignment horizontal="center"/>
      <protection/>
    </xf>
    <xf numFmtId="43" fontId="1" fillId="0" borderId="44" xfId="137" applyFont="1" applyFill="1" applyBorder="1" applyAlignment="1" applyProtection="1">
      <alignment horizontal="right"/>
      <protection/>
    </xf>
    <xf numFmtId="43" fontId="107" fillId="34" borderId="44" xfId="137" applyFont="1" applyFill="1" applyBorder="1" applyAlignment="1" applyProtection="1">
      <alignment horizontal="center"/>
      <protection/>
    </xf>
    <xf numFmtId="15" fontId="27" fillId="13" borderId="44" xfId="137" applyNumberFormat="1" applyFont="1" applyFill="1" applyBorder="1" applyAlignment="1" applyProtection="1">
      <alignment horizontal="center"/>
      <protection/>
    </xf>
    <xf numFmtId="0" fontId="0" fillId="0" borderId="44" xfId="0" applyBorder="1" applyAlignment="1">
      <alignment/>
    </xf>
    <xf numFmtId="43" fontId="20" fillId="26" borderId="0" xfId="94" applyFont="1" applyFill="1" applyAlignment="1" applyProtection="1">
      <alignment horizontal="center" vertical="center"/>
      <protection/>
    </xf>
    <xf numFmtId="43" fontId="37" fillId="13" borderId="0" xfId="107" applyFont="1" applyFill="1" applyAlignment="1" applyProtection="1">
      <alignment horizontal="center" vertical="center" wrapText="1"/>
      <protection/>
    </xf>
    <xf numFmtId="204" fontId="27" fillId="13" borderId="44" xfId="137" applyNumberFormat="1" applyFont="1" applyFill="1" applyBorder="1" applyAlignment="1" applyProtection="1">
      <alignment horizontal="center" vertical="center"/>
      <protection/>
    </xf>
    <xf numFmtId="43" fontId="1" fillId="0" borderId="44" xfId="137" applyFont="1" applyBorder="1" applyAlignment="1" applyProtection="1">
      <alignment horizontal="right"/>
      <protection/>
    </xf>
    <xf numFmtId="43" fontId="23" fillId="0" borderId="0" xfId="107" applyFont="1" applyFill="1" applyAlignment="1" applyProtection="1">
      <alignment horizontal="right" vertical="center"/>
      <protection/>
    </xf>
    <xf numFmtId="43" fontId="27" fillId="13" borderId="0" xfId="107" applyFont="1" applyFill="1" applyAlignment="1" applyProtection="1">
      <alignment horizontal="center" vertical="center" wrapText="1"/>
      <protection/>
    </xf>
    <xf numFmtId="0" fontId="108" fillId="0" borderId="154" xfId="0" applyFont="1" applyFill="1" applyBorder="1" applyAlignment="1" applyProtection="1">
      <alignment horizontal="left" wrapText="1"/>
      <protection/>
    </xf>
    <xf numFmtId="0" fontId="108" fillId="0" borderId="93" xfId="0" applyFont="1" applyFill="1" applyBorder="1" applyAlignment="1" applyProtection="1">
      <alignment horizontal="left" wrapText="1"/>
      <protection/>
    </xf>
    <xf numFmtId="0" fontId="108" fillId="0" borderId="155" xfId="0" applyFont="1" applyFill="1" applyBorder="1" applyAlignment="1" applyProtection="1">
      <alignment horizontal="left" wrapText="1"/>
      <protection/>
    </xf>
    <xf numFmtId="0" fontId="108" fillId="0" borderId="156"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4" borderId="0" xfId="137" applyFont="1" applyFill="1" applyBorder="1" applyAlignment="1" applyProtection="1">
      <alignment horizontal="center"/>
      <protection/>
    </xf>
    <xf numFmtId="0" fontId="103" fillId="0" borderId="0" xfId="0" applyFont="1" applyAlignment="1" applyProtection="1">
      <alignment horizontal="center"/>
      <protection/>
    </xf>
    <xf numFmtId="43" fontId="102" fillId="0" borderId="157" xfId="0" applyNumberFormat="1" applyFont="1" applyBorder="1" applyAlignment="1" applyProtection="1">
      <alignment horizontal="center" vertical="center" wrapText="1"/>
      <protection/>
    </xf>
    <xf numFmtId="43" fontId="102" fillId="0" borderId="158" xfId="0" applyNumberFormat="1" applyFont="1" applyBorder="1" applyAlignment="1" applyProtection="1">
      <alignment horizontal="center" vertical="center" wrapText="1"/>
      <protection/>
    </xf>
    <xf numFmtId="43" fontId="102" fillId="0" borderId="159" xfId="0" applyNumberFormat="1" applyFont="1" applyBorder="1" applyAlignment="1" applyProtection="1">
      <alignment horizontal="center" vertical="center" wrapText="1"/>
      <protection/>
    </xf>
    <xf numFmtId="0" fontId="0" fillId="0" borderId="160" xfId="0" applyBorder="1" applyAlignment="1" applyProtection="1">
      <alignment horizontal="center"/>
      <protection/>
    </xf>
    <xf numFmtId="0" fontId="0" fillId="0" borderId="66"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6" xfId="0" applyFont="1" applyFill="1" applyBorder="1" applyAlignment="1" applyProtection="1">
      <alignment horizontal="left" wrapText="1"/>
      <protection locked="0"/>
    </xf>
    <xf numFmtId="0" fontId="38" fillId="12" borderId="47" xfId="0" applyFont="1" applyFill="1" applyBorder="1" applyAlignment="1" applyProtection="1">
      <alignment horizontal="left" wrapText="1"/>
      <protection locked="0"/>
    </xf>
    <xf numFmtId="43" fontId="31" fillId="0" borderId="0" xfId="0" applyNumberFormat="1" applyFont="1" applyAlignment="1">
      <alignment horizontal="left"/>
    </xf>
    <xf numFmtId="43" fontId="17" fillId="0" borderId="0" xfId="0" applyNumberFormat="1" applyFont="1" applyAlignment="1">
      <alignment horizontal="center"/>
    </xf>
    <xf numFmtId="0" fontId="0" fillId="0" borderId="145" xfId="0" applyFill="1" applyBorder="1" applyAlignment="1" applyProtection="1">
      <alignment horizontal="center" vertical="center"/>
      <protection/>
    </xf>
    <xf numFmtId="0" fontId="0" fillId="0" borderId="146" xfId="0" applyFill="1" applyBorder="1" applyAlignment="1" applyProtection="1">
      <alignment horizontal="center" vertical="center"/>
      <protection/>
    </xf>
    <xf numFmtId="0" fontId="0" fillId="0" borderId="147" xfId="0" applyFill="1" applyBorder="1" applyAlignment="1" applyProtection="1">
      <alignment horizontal="center" vertical="center"/>
      <protection/>
    </xf>
    <xf numFmtId="43" fontId="31" fillId="0" borderId="0" xfId="0" applyNumberFormat="1" applyFont="1" applyAlignment="1">
      <alignment horizontal="right"/>
    </xf>
    <xf numFmtId="15" fontId="31"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0" fontId="86" fillId="0" borderId="0" xfId="0" applyFont="1" applyAlignment="1">
      <alignment horizontal="left" wrapText="1"/>
    </xf>
    <xf numFmtId="43" fontId="64" fillId="26" borderId="0" xfId="104"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43" fontId="64" fillId="26" borderId="0" xfId="104" applyFont="1" applyFill="1" applyAlignment="1" applyProtection="1">
      <alignment horizontal="center" vertical="center"/>
      <protection/>
    </xf>
    <xf numFmtId="0" fontId="38" fillId="0" borderId="114" xfId="0" applyFont="1" applyBorder="1" applyAlignment="1" applyProtection="1">
      <alignment horizontal="left" vertical="center"/>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4" borderId="0" xfId="139" applyFont="1" applyFill="1" applyBorder="1" applyAlignment="1" applyProtection="1">
      <alignment horizontal="center"/>
      <protection/>
    </xf>
    <xf numFmtId="9" fontId="38" fillId="12" borderId="31" xfId="119" applyFont="1" applyFill="1" applyBorder="1" applyAlignment="1" applyProtection="1">
      <alignment horizontal="left" vertical="center" wrapText="1"/>
      <protection locked="0"/>
    </xf>
    <xf numFmtId="9" fontId="38" fillId="12" borderId="46" xfId="119" applyFont="1" applyFill="1" applyBorder="1" applyAlignment="1" applyProtection="1">
      <alignment horizontal="left" vertical="center" wrapText="1"/>
      <protection locked="0"/>
    </xf>
    <xf numFmtId="9" fontId="38" fillId="12" borderId="47" xfId="119" applyFont="1" applyFill="1" applyBorder="1" applyAlignment="1" applyProtection="1">
      <alignment horizontal="left" vertical="center" wrapText="1"/>
      <protection locked="0"/>
    </xf>
    <xf numFmtId="9" fontId="31" fillId="0" borderId="31" xfId="119" applyFont="1" applyBorder="1" applyAlignment="1" applyProtection="1">
      <alignment horizontal="center" vertical="center" wrapText="1"/>
      <protection/>
    </xf>
    <xf numFmtId="9" fontId="31" fillId="0" borderId="46" xfId="119" applyFont="1" applyBorder="1" applyAlignment="1" applyProtection="1">
      <alignment horizontal="center" vertical="center" wrapText="1"/>
      <protection/>
    </xf>
    <xf numFmtId="9" fontId="31" fillId="0" borderId="47" xfId="119" applyFont="1" applyBorder="1" applyAlignment="1" applyProtection="1">
      <alignment horizontal="center" vertical="center" wrapText="1"/>
      <protection/>
    </xf>
    <xf numFmtId="9" fontId="40" fillId="24" borderId="31" xfId="119" applyFont="1" applyFill="1" applyBorder="1" applyAlignment="1" applyProtection="1">
      <alignment horizontal="center" vertical="center" wrapText="1"/>
      <protection/>
    </xf>
    <xf numFmtId="9" fontId="40" fillId="24" borderId="47" xfId="119" applyFont="1" applyFill="1" applyBorder="1" applyAlignment="1" applyProtection="1">
      <alignment horizontal="center" vertical="center" wrapText="1"/>
      <protection/>
    </xf>
    <xf numFmtId="9" fontId="40" fillId="36" borderId="31" xfId="119" applyFont="1" applyFill="1" applyBorder="1" applyAlignment="1" applyProtection="1">
      <alignment horizontal="center" vertical="center" wrapText="1"/>
      <protection/>
    </xf>
    <xf numFmtId="9" fontId="40" fillId="36" borderId="47" xfId="119" applyFont="1" applyFill="1" applyBorder="1" applyAlignment="1" applyProtection="1">
      <alignment horizontal="center" vertical="center" wrapText="1"/>
      <protection/>
    </xf>
    <xf numFmtId="0" fontId="38" fillId="0" borderId="12" xfId="0" applyFont="1" applyBorder="1" applyAlignment="1" applyProtection="1">
      <alignment vertical="center" wrapText="1"/>
      <protection/>
    </xf>
    <xf numFmtId="0" fontId="38" fillId="0" borderId="31" xfId="0" applyFont="1" applyBorder="1" applyAlignment="1" applyProtection="1">
      <alignment vertical="center" wrapText="1"/>
      <protection/>
    </xf>
    <xf numFmtId="0" fontId="38" fillId="0" borderId="46" xfId="0" applyFont="1" applyBorder="1" applyAlignment="1" applyProtection="1">
      <alignment vertical="center" wrapText="1"/>
      <protection/>
    </xf>
    <xf numFmtId="0" fontId="38" fillId="0" borderId="47" xfId="0" applyFont="1" applyBorder="1" applyAlignment="1" applyProtection="1">
      <alignment vertical="center" wrapText="1"/>
      <protection/>
    </xf>
    <xf numFmtId="0" fontId="37" fillId="0" borderId="104"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0" borderId="31" xfId="0" applyFont="1" applyBorder="1" applyAlignment="1" applyProtection="1">
      <alignment horizontal="center" vertical="center"/>
      <protection/>
    </xf>
    <xf numFmtId="0" fontId="38" fillId="0" borderId="46" xfId="0" applyFont="1" applyBorder="1" applyAlignment="1" applyProtection="1">
      <alignment horizontal="center" vertical="center"/>
      <protection/>
    </xf>
    <xf numFmtId="0" fontId="38" fillId="0" borderId="47" xfId="0" applyFont="1" applyBorder="1" applyAlignment="1" applyProtection="1">
      <alignment horizontal="center" vertical="center"/>
      <protection/>
    </xf>
    <xf numFmtId="0" fontId="38" fillId="2" borderId="0" xfId="0" applyFont="1" applyFill="1" applyAlignment="1" applyProtection="1">
      <alignment horizontal="center" vertical="center" wrapText="1"/>
      <protection/>
    </xf>
    <xf numFmtId="9" fontId="38" fillId="12" borderId="112" xfId="119" applyFont="1" applyFill="1" applyBorder="1" applyAlignment="1" applyProtection="1">
      <alignment horizontal="left" vertical="center" wrapText="1"/>
      <protection locked="0"/>
    </xf>
    <xf numFmtId="9" fontId="31" fillId="0" borderId="115" xfId="119" applyFont="1" applyBorder="1" applyAlignment="1" applyProtection="1">
      <alignment horizontal="center" vertical="center" wrapText="1"/>
      <protection/>
    </xf>
    <xf numFmtId="9" fontId="31" fillId="0" borderId="114" xfId="119" applyFont="1" applyBorder="1" applyAlignment="1" applyProtection="1">
      <alignment horizontal="center" vertical="center" wrapText="1"/>
      <protection/>
    </xf>
    <xf numFmtId="9" fontId="31" fillId="0" borderId="116" xfId="119" applyFont="1" applyBorder="1" applyAlignment="1" applyProtection="1">
      <alignment horizontal="center" vertical="center" wrapText="1"/>
      <protection/>
    </xf>
    <xf numFmtId="0" fontId="38" fillId="12" borderId="31"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9" fontId="38" fillId="12" borderId="115" xfId="119" applyFont="1" applyFill="1" applyBorder="1" applyAlignment="1" applyProtection="1">
      <alignment horizontal="left" vertical="center" wrapText="1"/>
      <protection locked="0"/>
    </xf>
    <xf numFmtId="9" fontId="38" fillId="12" borderId="114" xfId="119" applyFont="1" applyFill="1" applyBorder="1" applyAlignment="1" applyProtection="1">
      <alignment horizontal="left" vertical="center" wrapText="1"/>
      <protection locked="0"/>
    </xf>
    <xf numFmtId="9" fontId="38" fillId="12" borderId="116" xfId="119" applyFont="1" applyFill="1" applyBorder="1" applyAlignment="1" applyProtection="1">
      <alignment horizontal="left" vertical="center" wrapText="1"/>
      <protection locked="0"/>
    </xf>
    <xf numFmtId="0" fontId="2" fillId="12" borderId="161" xfId="0" applyFont="1" applyFill="1" applyBorder="1" applyAlignment="1" applyProtection="1">
      <alignment horizontal="center" vertical="top" wrapText="1"/>
      <protection locked="0"/>
    </xf>
    <xf numFmtId="0" fontId="2" fillId="12" borderId="162" xfId="0" applyFont="1" applyFill="1" applyBorder="1" applyAlignment="1" applyProtection="1">
      <alignment horizontal="center" vertical="top" wrapText="1"/>
      <protection locked="0"/>
    </xf>
    <xf numFmtId="0" fontId="2" fillId="12" borderId="163" xfId="0" applyFont="1" applyFill="1" applyBorder="1" applyAlignment="1" applyProtection="1">
      <alignment horizontal="center" vertical="top" wrapText="1"/>
      <protection locked="0"/>
    </xf>
    <xf numFmtId="0" fontId="2" fillId="12" borderId="164" xfId="0" applyFont="1" applyFill="1" applyBorder="1" applyAlignment="1" applyProtection="1">
      <alignment horizontal="center" vertical="top" wrapText="1"/>
      <protection locked="0"/>
    </xf>
    <xf numFmtId="0" fontId="2" fillId="12" borderId="165" xfId="0" applyFont="1" applyFill="1" applyBorder="1" applyAlignment="1" applyProtection="1">
      <alignment horizontal="center" vertical="top" wrapText="1"/>
      <protection locked="0"/>
    </xf>
    <xf numFmtId="0" fontId="2" fillId="12" borderId="16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67" xfId="0" applyFont="1" applyFill="1" applyBorder="1" applyAlignment="1" applyProtection="1">
      <alignment horizontal="center" vertical="center"/>
      <protection/>
    </xf>
    <xf numFmtId="0" fontId="63" fillId="3" borderId="168" xfId="0" applyFont="1" applyFill="1" applyBorder="1" applyAlignment="1" applyProtection="1">
      <alignment horizontal="center" vertical="center"/>
      <protection/>
    </xf>
    <xf numFmtId="0" fontId="63" fillId="3" borderId="169" xfId="0" applyFont="1" applyFill="1" applyBorder="1" applyAlignment="1" applyProtection="1">
      <alignment horizontal="center" vertical="center"/>
      <protection/>
    </xf>
    <xf numFmtId="0" fontId="2" fillId="13" borderId="170" xfId="0" applyFont="1" applyFill="1" applyBorder="1" applyAlignment="1" applyProtection="1">
      <alignment horizontal="center" vertical="top" wrapText="1"/>
      <protection locked="0"/>
    </xf>
    <xf numFmtId="0" fontId="2" fillId="13" borderId="171" xfId="0" applyFont="1" applyFill="1" applyBorder="1" applyAlignment="1" applyProtection="1">
      <alignment horizontal="center" vertical="top" wrapText="1"/>
      <protection locked="0"/>
    </xf>
    <xf numFmtId="0" fontId="2" fillId="13" borderId="172" xfId="0" applyFont="1" applyFill="1" applyBorder="1" applyAlignment="1" applyProtection="1">
      <alignment horizontal="center" vertical="top" wrapText="1"/>
      <protection locked="0"/>
    </xf>
    <xf numFmtId="0" fontId="2" fillId="13" borderId="173" xfId="0" applyFont="1" applyFill="1" applyBorder="1" applyAlignment="1" applyProtection="1">
      <alignment horizontal="center" vertical="top" wrapText="1"/>
      <protection locked="0"/>
    </xf>
    <xf numFmtId="0" fontId="2" fillId="13" borderId="174" xfId="0" applyFont="1" applyFill="1" applyBorder="1" applyAlignment="1" applyProtection="1">
      <alignment horizontal="center" vertical="top" wrapText="1"/>
      <protection locked="0"/>
    </xf>
    <xf numFmtId="0" fontId="2" fillId="13" borderId="175" xfId="0" applyFont="1" applyFill="1" applyBorder="1" applyAlignment="1" applyProtection="1">
      <alignment horizontal="center" vertical="top" wrapText="1"/>
      <protection locked="0"/>
    </xf>
    <xf numFmtId="0" fontId="2" fillId="13" borderId="176" xfId="0" applyFont="1" applyFill="1" applyBorder="1" applyAlignment="1" applyProtection="1">
      <alignment horizontal="center" vertical="top" wrapText="1"/>
      <protection locked="0"/>
    </xf>
    <xf numFmtId="0" fontId="2" fillId="13" borderId="177" xfId="0" applyFont="1" applyFill="1" applyBorder="1" applyAlignment="1" applyProtection="1">
      <alignment horizontal="center" vertical="top" wrapText="1"/>
      <protection locked="0"/>
    </xf>
    <xf numFmtId="0" fontId="2" fillId="13" borderId="178" xfId="0" applyFont="1" applyFill="1" applyBorder="1" applyAlignment="1" applyProtection="1">
      <alignment horizontal="center" vertical="top" wrapText="1"/>
      <protection locked="0"/>
    </xf>
    <xf numFmtId="0" fontId="79" fillId="0" borderId="179" xfId="0" applyFont="1" applyFill="1" applyBorder="1" applyAlignment="1" applyProtection="1">
      <alignment horizontal="center"/>
      <protection/>
    </xf>
    <xf numFmtId="0" fontId="79" fillId="0" borderId="180" xfId="0" applyFont="1" applyFill="1" applyBorder="1" applyAlignment="1" applyProtection="1">
      <alignment horizontal="center"/>
      <protection/>
    </xf>
    <xf numFmtId="49" fontId="2" fillId="3" borderId="181" xfId="0" applyNumberFormat="1" applyFont="1" applyFill="1" applyBorder="1" applyAlignment="1" applyProtection="1">
      <alignment horizontal="center" vertical="center"/>
      <protection locked="0"/>
    </xf>
    <xf numFmtId="49" fontId="2" fillId="3" borderId="182" xfId="0" applyNumberFormat="1" applyFont="1" applyFill="1" applyBorder="1" applyAlignment="1" applyProtection="1">
      <alignment horizontal="center" vertical="center"/>
      <protection locked="0"/>
    </xf>
    <xf numFmtId="49" fontId="2" fillId="3" borderId="183" xfId="0" applyNumberFormat="1" applyFont="1" applyFill="1" applyBorder="1" applyAlignment="1" applyProtection="1">
      <alignment horizontal="center" vertical="center"/>
      <protection locked="0"/>
    </xf>
    <xf numFmtId="49" fontId="2" fillId="3" borderId="184"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85"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86" xfId="0" applyNumberFormat="1" applyFont="1" applyFill="1" applyBorder="1" applyAlignment="1" applyProtection="1">
      <alignment horizontal="left" vertical="top" wrapText="1"/>
      <protection/>
    </xf>
    <xf numFmtId="0" fontId="81" fillId="0" borderId="187" xfId="0" applyNumberFormat="1" applyFont="1" applyFill="1" applyBorder="1" applyAlignment="1" applyProtection="1">
      <alignment horizontal="left" vertical="top" wrapText="1"/>
      <protection/>
    </xf>
    <xf numFmtId="0" fontId="81" fillId="0" borderId="188" xfId="0" applyNumberFormat="1" applyFont="1" applyFill="1" applyBorder="1" applyAlignment="1" applyProtection="1">
      <alignment horizontal="left" vertical="top" wrapText="1"/>
      <protection/>
    </xf>
    <xf numFmtId="0" fontId="81" fillId="0" borderId="189" xfId="0" applyNumberFormat="1" applyFont="1" applyFill="1" applyBorder="1" applyAlignment="1" applyProtection="1">
      <alignment horizontal="left" vertical="top" wrapText="1"/>
      <protection/>
    </xf>
    <xf numFmtId="49" fontId="2" fillId="3" borderId="190" xfId="0" applyNumberFormat="1" applyFont="1" applyFill="1" applyBorder="1" applyAlignment="1" applyProtection="1">
      <alignment horizontal="center" vertical="center"/>
      <protection locked="0"/>
    </xf>
    <xf numFmtId="49" fontId="2" fillId="3" borderId="191" xfId="0" applyNumberFormat="1" applyFont="1" applyFill="1" applyBorder="1" applyAlignment="1" applyProtection="1">
      <alignment horizontal="center" vertical="center"/>
      <protection locked="0"/>
    </xf>
    <xf numFmtId="49" fontId="2" fillId="3" borderId="192" xfId="0" applyNumberFormat="1" applyFont="1" applyFill="1" applyBorder="1" applyAlignment="1" applyProtection="1">
      <alignment horizontal="center" vertical="center"/>
      <protection locked="0"/>
    </xf>
    <xf numFmtId="9" fontId="2" fillId="0" borderId="193" xfId="119" applyNumberFormat="1" applyFont="1" applyFill="1" applyBorder="1" applyAlignment="1" applyProtection="1">
      <alignment horizontal="left" vertical="center" wrapText="1"/>
      <protection/>
    </xf>
    <xf numFmtId="0" fontId="2" fillId="0" borderId="182" xfId="119" applyNumberFormat="1" applyFont="1" applyFill="1" applyBorder="1" applyAlignment="1" applyProtection="1">
      <alignment horizontal="left" vertical="center" wrapText="1"/>
      <protection/>
    </xf>
    <xf numFmtId="0" fontId="2" fillId="0" borderId="194" xfId="119" applyNumberFormat="1" applyFont="1" applyFill="1" applyBorder="1" applyAlignment="1" applyProtection="1">
      <alignment horizontal="left" vertical="center" wrapText="1"/>
      <protection/>
    </xf>
    <xf numFmtId="0" fontId="2" fillId="12" borderId="195" xfId="0" applyFont="1" applyFill="1" applyBorder="1" applyAlignment="1" applyProtection="1">
      <alignment horizontal="center" vertical="top" wrapText="1"/>
      <protection locked="0"/>
    </xf>
    <xf numFmtId="0" fontId="2" fillId="12" borderId="196" xfId="0" applyFont="1" applyFill="1" applyBorder="1" applyAlignment="1" applyProtection="1">
      <alignment horizontal="center" vertical="top" wrapText="1"/>
      <protection locked="0"/>
    </xf>
    <xf numFmtId="0" fontId="2" fillId="12" borderId="197" xfId="0" applyFont="1" applyFill="1" applyBorder="1" applyAlignment="1" applyProtection="1">
      <alignment horizontal="center" vertical="top" wrapText="1"/>
      <protection locked="0"/>
    </xf>
    <xf numFmtId="0" fontId="81" fillId="0" borderId="198" xfId="0" applyNumberFormat="1" applyFont="1" applyFill="1" applyBorder="1" applyAlignment="1" applyProtection="1">
      <alignment horizontal="left" vertical="top" wrapText="1"/>
      <protection/>
    </xf>
    <xf numFmtId="0" fontId="113" fillId="13" borderId="199" xfId="0" applyFont="1" applyFill="1" applyBorder="1" applyAlignment="1" applyProtection="1">
      <alignment horizontal="center" vertical="center"/>
      <protection/>
    </xf>
    <xf numFmtId="0" fontId="113" fillId="13" borderId="200" xfId="0" applyFont="1" applyFill="1" applyBorder="1" applyAlignment="1" applyProtection="1">
      <alignment horizontal="center" vertical="center"/>
      <protection/>
    </xf>
    <xf numFmtId="0" fontId="0" fillId="0" borderId="200" xfId="0" applyBorder="1" applyAlignment="1">
      <alignment horizontal="center" vertical="center"/>
    </xf>
    <xf numFmtId="0" fontId="113" fillId="13" borderId="201" xfId="0" applyFont="1" applyFill="1" applyBorder="1" applyAlignment="1" applyProtection="1">
      <alignment horizontal="center" vertical="center"/>
      <protection/>
    </xf>
    <xf numFmtId="0" fontId="113" fillId="13" borderId="202" xfId="0" applyFont="1" applyFill="1" applyBorder="1" applyAlignment="1" applyProtection="1">
      <alignment horizontal="center" vertical="center"/>
      <protection/>
    </xf>
    <xf numFmtId="0" fontId="113" fillId="13" borderId="203" xfId="0" applyFont="1" applyFill="1" applyBorder="1" applyAlignment="1" applyProtection="1">
      <alignment horizontal="center" vertical="center"/>
      <protection/>
    </xf>
    <xf numFmtId="0" fontId="81" fillId="0" borderId="204" xfId="0" applyNumberFormat="1" applyFont="1" applyFill="1" applyBorder="1" applyAlignment="1" applyProtection="1">
      <alignment horizontal="left" vertical="top" wrapText="1"/>
      <protection/>
    </xf>
    <xf numFmtId="0" fontId="81" fillId="0" borderId="205" xfId="0" applyNumberFormat="1" applyFont="1" applyFill="1" applyBorder="1" applyAlignment="1" applyProtection="1">
      <alignment horizontal="left" vertical="top" wrapText="1"/>
      <protection/>
    </xf>
    <xf numFmtId="0" fontId="2" fillId="0" borderId="193" xfId="119" applyNumberFormat="1" applyFont="1" applyFill="1" applyBorder="1" applyAlignment="1" applyProtection="1">
      <alignment horizontal="left" vertical="center" wrapText="1"/>
      <protection/>
    </xf>
    <xf numFmtId="0" fontId="81" fillId="0" borderId="206" xfId="0" applyNumberFormat="1" applyFont="1" applyFill="1" applyBorder="1" applyAlignment="1" applyProtection="1">
      <alignment horizontal="left" vertical="top" wrapText="1"/>
      <protection/>
    </xf>
    <xf numFmtId="0" fontId="81" fillId="0" borderId="207" xfId="0" applyNumberFormat="1" applyFont="1" applyFill="1" applyBorder="1" applyAlignment="1" applyProtection="1">
      <alignment horizontal="left" vertical="top" wrapText="1"/>
      <protection/>
    </xf>
    <xf numFmtId="0" fontId="63" fillId="12" borderId="208" xfId="0" applyFont="1" applyFill="1" applyBorder="1" applyAlignment="1" applyProtection="1">
      <alignment horizontal="center" vertical="center"/>
      <protection/>
    </xf>
    <xf numFmtId="0" fontId="63" fillId="12" borderId="209" xfId="0" applyFont="1" applyFill="1" applyBorder="1" applyAlignment="1" applyProtection="1">
      <alignment horizontal="center" vertical="center"/>
      <protection/>
    </xf>
    <xf numFmtId="0" fontId="63" fillId="12" borderId="210" xfId="0" applyFont="1" applyFill="1" applyBorder="1" applyAlignment="1" applyProtection="1">
      <alignment horizontal="center" vertical="center"/>
      <protection/>
    </xf>
    <xf numFmtId="0" fontId="81" fillId="0" borderId="211" xfId="0" applyNumberFormat="1" applyFont="1" applyFill="1" applyBorder="1" applyAlignment="1" applyProtection="1">
      <alignment horizontal="left" vertical="center" wrapText="1"/>
      <protection/>
    </xf>
    <xf numFmtId="0" fontId="81" fillId="0" borderId="212" xfId="0" applyNumberFormat="1" applyFont="1" applyFill="1" applyBorder="1" applyAlignment="1" applyProtection="1">
      <alignment horizontal="left" vertical="center" wrapText="1"/>
      <protection/>
    </xf>
    <xf numFmtId="0" fontId="81" fillId="0" borderId="213" xfId="0" applyNumberFormat="1" applyFont="1" applyFill="1" applyBorder="1" applyAlignment="1" applyProtection="1">
      <alignment horizontal="left" vertical="center" wrapText="1"/>
      <protection/>
    </xf>
    <xf numFmtId="0" fontId="0" fillId="12" borderId="115" xfId="0" applyFill="1" applyBorder="1" applyAlignment="1" applyProtection="1">
      <alignment horizontal="center"/>
      <protection locked="0"/>
    </xf>
    <xf numFmtId="0" fontId="0" fillId="12" borderId="114" xfId="0" applyFill="1" applyBorder="1" applyAlignment="1" applyProtection="1">
      <alignment horizontal="center"/>
      <protection locked="0"/>
    </xf>
    <xf numFmtId="0" fontId="0" fillId="12" borderId="116" xfId="0" applyFill="1" applyBorder="1" applyAlignment="1" applyProtection="1">
      <alignment horizontal="center"/>
      <protection locked="0"/>
    </xf>
    <xf numFmtId="0" fontId="0" fillId="12" borderId="68" xfId="0" applyFill="1" applyBorder="1" applyAlignment="1" applyProtection="1">
      <alignment horizontal="center"/>
      <protection locked="0"/>
    </xf>
    <xf numFmtId="0" fontId="0" fillId="12" borderId="104" xfId="0" applyFill="1" applyBorder="1" applyAlignment="1" applyProtection="1">
      <alignment horizontal="center"/>
      <protection locked="0"/>
    </xf>
    <xf numFmtId="0" fontId="0" fillId="12" borderId="106" xfId="0" applyFill="1" applyBorder="1" applyAlignment="1" applyProtection="1">
      <alignment horizontal="center"/>
      <protection locked="0"/>
    </xf>
    <xf numFmtId="0" fontId="78" fillId="8" borderId="15" xfId="115" applyNumberFormat="1" applyFont="1" applyFill="1" applyBorder="1" applyAlignment="1">
      <alignment horizontal="center" vertical="center" wrapText="1"/>
      <protection/>
    </xf>
    <xf numFmtId="0" fontId="78" fillId="8" borderId="214" xfId="115" applyNumberFormat="1" applyFont="1" applyFill="1" applyBorder="1" applyAlignment="1">
      <alignment horizontal="center" vertical="center" wrapText="1"/>
      <protection/>
    </xf>
    <xf numFmtId="0" fontId="24" fillId="0" borderId="182" xfId="0" applyFont="1" applyFill="1" applyBorder="1" applyAlignment="1" applyProtection="1">
      <alignment horizontal="left" vertical="center" wrapText="1"/>
      <protection locked="0"/>
    </xf>
    <xf numFmtId="0" fontId="24" fillId="0" borderId="215" xfId="0" applyFont="1" applyFill="1" applyBorder="1" applyAlignment="1" applyProtection="1">
      <alignment horizontal="left" vertical="center" wrapText="1"/>
      <protection locked="0"/>
    </xf>
    <xf numFmtId="0" fontId="24" fillId="0" borderId="216" xfId="0" applyFont="1" applyFill="1" applyBorder="1" applyAlignment="1" applyProtection="1">
      <alignment horizontal="left" vertical="center" wrapText="1"/>
      <protection locked="0"/>
    </xf>
    <xf numFmtId="0" fontId="24" fillId="0" borderId="217" xfId="0" applyFont="1" applyFill="1" applyBorder="1" applyAlignment="1" applyProtection="1">
      <alignment horizontal="left" vertical="center" wrapText="1"/>
      <protection locked="0"/>
    </xf>
    <xf numFmtId="0" fontId="24" fillId="0" borderId="218" xfId="0" applyFont="1" applyBorder="1" applyAlignment="1" applyProtection="1">
      <alignment horizontal="left"/>
      <protection locked="0"/>
    </xf>
    <xf numFmtId="0" fontId="24" fillId="0" borderId="40" xfId="0" applyFont="1" applyBorder="1" applyAlignment="1" applyProtection="1">
      <alignment horizontal="left"/>
      <protection locked="0"/>
    </xf>
    <xf numFmtId="0" fontId="24" fillId="0" borderId="219" xfId="0" applyFont="1" applyBorder="1" applyAlignment="1" applyProtection="1">
      <alignment horizontal="left"/>
      <protection locked="0"/>
    </xf>
    <xf numFmtId="0" fontId="24" fillId="0" borderId="220" xfId="0" applyFont="1" applyBorder="1" applyAlignment="1" applyProtection="1">
      <alignment horizontal="left"/>
      <protection locked="0"/>
    </xf>
    <xf numFmtId="0" fontId="24" fillId="0" borderId="220"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2" xfId="0" applyFont="1" applyFill="1" applyBorder="1" applyAlignment="1" applyProtection="1">
      <alignment horizontal="left" vertical="top" wrapText="1"/>
      <protection locked="0"/>
    </xf>
    <xf numFmtId="0" fontId="24" fillId="0" borderId="223" xfId="0" applyFont="1" applyFill="1" applyBorder="1" applyAlignment="1" applyProtection="1">
      <alignment horizontal="left" vertical="top" wrapText="1"/>
      <protection locked="0"/>
    </xf>
    <xf numFmtId="0" fontId="24" fillId="0" borderId="224" xfId="0" applyFont="1" applyFill="1" applyBorder="1" applyAlignment="1" applyProtection="1">
      <alignment horizontal="left" vertical="top" wrapText="1"/>
      <protection locked="0"/>
    </xf>
    <xf numFmtId="0" fontId="24" fillId="0" borderId="225" xfId="0" applyFont="1" applyFill="1" applyBorder="1" applyAlignment="1" applyProtection="1">
      <alignment horizontal="left" vertical="top" wrapText="1"/>
      <protection locked="0"/>
    </xf>
    <xf numFmtId="0" fontId="24" fillId="0" borderId="191" xfId="0" applyFont="1" applyFill="1" applyBorder="1" applyAlignment="1" applyProtection="1">
      <alignment horizontal="left" vertical="top" wrapText="1"/>
      <protection locked="0"/>
    </xf>
    <xf numFmtId="0" fontId="24" fillId="0" borderId="226" xfId="0" applyFont="1" applyFill="1" applyBorder="1" applyAlignment="1" applyProtection="1">
      <alignment horizontal="left" vertical="top" wrapText="1"/>
      <protection locked="0"/>
    </xf>
    <xf numFmtId="0" fontId="78" fillId="8" borderId="227" xfId="115" applyNumberFormat="1" applyFont="1" applyFill="1" applyBorder="1" applyAlignment="1">
      <alignment horizontal="center" vertical="center" wrapText="1"/>
      <protection/>
    </xf>
    <xf numFmtId="0" fontId="96" fillId="8" borderId="112" xfId="0" applyFont="1" applyFill="1" applyBorder="1" applyAlignment="1">
      <alignment horizontal="center" vertical="center" textRotation="90"/>
    </xf>
    <xf numFmtId="0" fontId="0" fillId="8" borderId="90" xfId="0" applyFill="1" applyBorder="1" applyAlignment="1">
      <alignment horizontal="center" vertical="center" textRotation="90"/>
    </xf>
    <xf numFmtId="0" fontId="0" fillId="8" borderId="107" xfId="0" applyFill="1" applyBorder="1" applyAlignment="1">
      <alignment horizontal="center" vertical="center" textRotation="90"/>
    </xf>
    <xf numFmtId="0" fontId="24" fillId="0" borderId="219" xfId="0" applyFont="1" applyFill="1" applyBorder="1" applyAlignment="1" applyProtection="1">
      <alignment horizontal="left"/>
      <protection locked="0"/>
    </xf>
    <xf numFmtId="0" fontId="37" fillId="0" borderId="0" xfId="0" applyFont="1" applyAlignment="1">
      <alignment horizontal="center"/>
    </xf>
    <xf numFmtId="0" fontId="78" fillId="8" borderId="228" xfId="115" applyNumberFormat="1" applyFont="1" applyFill="1" applyBorder="1" applyAlignment="1">
      <alignment horizontal="center" vertical="center" wrapText="1"/>
      <protection/>
    </xf>
    <xf numFmtId="0" fontId="78" fillId="8" borderId="229" xfId="115" applyNumberFormat="1" applyFont="1" applyFill="1" applyBorder="1" applyAlignment="1">
      <alignment horizontal="center" vertical="center" wrapText="1"/>
      <protection/>
    </xf>
    <xf numFmtId="0" fontId="78" fillId="8" borderId="230" xfId="115" applyNumberFormat="1" applyFont="1" applyFill="1" applyBorder="1" applyAlignment="1">
      <alignment horizontal="center" vertical="center" wrapText="1"/>
      <protection/>
    </xf>
    <xf numFmtId="0" fontId="24" fillId="0" borderId="231" xfId="0" applyFont="1" applyFill="1" applyBorder="1" applyAlignment="1" applyProtection="1">
      <alignment horizontal="left"/>
      <protection locked="0"/>
    </xf>
    <xf numFmtId="0" fontId="24" fillId="0" borderId="232" xfId="0" applyFont="1" applyFill="1" applyBorder="1" applyAlignment="1" applyProtection="1">
      <alignment horizontal="left"/>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protection locked="0"/>
    </xf>
    <xf numFmtId="0" fontId="24" fillId="0" borderId="182" xfId="0" applyFont="1" applyFill="1" applyBorder="1" applyAlignment="1" applyProtection="1">
      <alignment horizontal="left"/>
      <protection locked="0"/>
    </xf>
    <xf numFmtId="0" fontId="24" fillId="0" borderId="215" xfId="0" applyFont="1" applyFill="1" applyBorder="1" applyAlignment="1" applyProtection="1">
      <alignment horizontal="left"/>
      <protection locked="0"/>
    </xf>
    <xf numFmtId="0" fontId="24" fillId="0" borderId="238" xfId="0" applyFont="1" applyFill="1" applyBorder="1" applyAlignment="1" applyProtection="1">
      <alignment horizontal="left"/>
      <protection locked="0"/>
    </xf>
    <xf numFmtId="0" fontId="24" fillId="0" borderId="216"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31" xfId="0" applyFont="1" applyBorder="1" applyAlignment="1" applyProtection="1">
      <alignment horizontal="left"/>
      <protection locked="0"/>
    </xf>
    <xf numFmtId="0" fontId="24" fillId="0" borderId="232" xfId="0" applyFont="1" applyBorder="1" applyAlignment="1" applyProtection="1">
      <alignment horizontal="left"/>
      <protection locked="0"/>
    </xf>
    <xf numFmtId="0" fontId="24" fillId="0" borderId="40"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43" fontId="18" fillId="34" borderId="0" xfId="140" applyFont="1" applyFill="1" applyBorder="1" applyAlignment="1" applyProtection="1">
      <alignment horizontal="center"/>
      <protection locked="0"/>
    </xf>
    <xf numFmtId="0" fontId="24" fillId="0" borderId="239" xfId="0" applyFont="1" applyFill="1" applyBorder="1" applyAlignment="1" applyProtection="1">
      <alignment horizontal="left"/>
      <protection locked="0"/>
    </xf>
    <xf numFmtId="0" fontId="24" fillId="0" borderId="240" xfId="0" applyFont="1" applyFill="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40" xfId="0" applyFont="1" applyBorder="1" applyAlignment="1" applyProtection="1">
      <alignment horizontal="left"/>
      <protection locked="0"/>
    </xf>
    <xf numFmtId="0" fontId="24" fillId="0" borderId="239" xfId="0" applyFont="1" applyBorder="1" applyAlignment="1" applyProtection="1">
      <alignment horizontal="left"/>
      <protection locked="0"/>
    </xf>
    <xf numFmtId="43" fontId="20" fillId="26" borderId="0" xfId="94" applyFont="1" applyFill="1" applyAlignment="1">
      <alignment horizontal="center" vertical="center"/>
      <protection/>
    </xf>
  </cellXfs>
  <cellStyles count="13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omma 2" xfId="66"/>
    <cellStyle name="Comma 3" xfId="67"/>
    <cellStyle name="Currency" xfId="68"/>
    <cellStyle name="Currency [0]" xfId="69"/>
    <cellStyle name="Encabezado 4" xfId="70"/>
    <cellStyle name="Énfasis1" xfId="71"/>
    <cellStyle name="Énfasis2" xfId="72"/>
    <cellStyle name="Énfasis3" xfId="73"/>
    <cellStyle name="Énfasis4" xfId="74"/>
    <cellStyle name="Énfasis5" xfId="75"/>
    <cellStyle name="Énfasis6" xfId="76"/>
    <cellStyle name="Entrada" xfId="77"/>
    <cellStyle name="Euro" xfId="78"/>
    <cellStyle name="Explanatory Text" xfId="79"/>
    <cellStyle name="Followed Hyperlink" xfId="80"/>
    <cellStyle name="Good" xfId="81"/>
    <cellStyle name="Heading 1" xfId="82"/>
    <cellStyle name="Heading 2" xfId="83"/>
    <cellStyle name="Heading 3" xfId="84"/>
    <cellStyle name="Heading 4" xfId="85"/>
    <cellStyle name="Hyperlink" xfId="86"/>
    <cellStyle name="Incorrecto" xfId="87"/>
    <cellStyle name="Input" xfId="88"/>
    <cellStyle name="Linked Cell" xfId="89"/>
    <cellStyle name="Millares 2" xfId="90"/>
    <cellStyle name="Neutral" xfId="91"/>
    <cellStyle name="Normal 12" xfId="92"/>
    <cellStyle name="Normal 13" xfId="93"/>
    <cellStyle name="Normal 2" xfId="94"/>
    <cellStyle name="Normal 2 2" xfId="95"/>
    <cellStyle name="Normal 2 3" xfId="96"/>
    <cellStyle name="Normal 2 4" xfId="97"/>
    <cellStyle name="Normal 2 5" xfId="98"/>
    <cellStyle name="Normal 2 6" xfId="99"/>
    <cellStyle name="Normal 2 7" xfId="100"/>
    <cellStyle name="Normal 2 8" xfId="101"/>
    <cellStyle name="Normal 2 9" xfId="102"/>
    <cellStyle name="Normal 2_Dashboard ver 2.2 ES" xfId="103"/>
    <cellStyle name="Normal 2_Prototipo" xfId="104"/>
    <cellStyle name="Normal 3" xfId="105"/>
    <cellStyle name="Normal 3 2" xfId="106"/>
    <cellStyle name="Normal 4" xfId="107"/>
    <cellStyle name="Normal 4 2" xfId="108"/>
    <cellStyle name="Normal 5" xfId="109"/>
    <cellStyle name="Normal 5 2" xfId="110"/>
    <cellStyle name="Normal 6" xfId="111"/>
    <cellStyle name="Normal 6 2" xfId="112"/>
    <cellStyle name="Normal 7" xfId="113"/>
    <cellStyle name="Normal 8" xfId="114"/>
    <cellStyle name="Normal_TZ_R3HIV_Phase_2_21_August_08" xfId="115"/>
    <cellStyle name="Notas" xfId="116"/>
    <cellStyle name="Note" xfId="117"/>
    <cellStyle name="Output" xfId="118"/>
    <cellStyle name="Percent" xfId="119"/>
    <cellStyle name="Percent 2" xfId="120"/>
    <cellStyle name="Porcentual 2" xfId="121"/>
    <cellStyle name="Porcentual 3" xfId="122"/>
    <cellStyle name="Porcentual 4" xfId="123"/>
    <cellStyle name="Porcentual 5" xfId="124"/>
    <cellStyle name="Porcentual 6" xfId="125"/>
    <cellStyle name="Porcentual 7" xfId="126"/>
    <cellStyle name="Porcentual 8" xfId="127"/>
    <cellStyle name="Salida" xfId="128"/>
    <cellStyle name="Texto de advertencia" xfId="129"/>
    <cellStyle name="Texto explicativo" xfId="130"/>
    <cellStyle name="Title" xfId="131"/>
    <cellStyle name="Título" xfId="132"/>
    <cellStyle name="Título 1" xfId="133"/>
    <cellStyle name="Título 2" xfId="134"/>
    <cellStyle name="Título 3" xfId="135"/>
    <cellStyle name="Título 3 2" xfId="136"/>
    <cellStyle name="Título 3 3" xfId="137"/>
    <cellStyle name="Título 3 3 2" xfId="138"/>
    <cellStyle name="Título 3 3_Prototipo" xfId="139"/>
    <cellStyle name="Título 3 3_PrototipoRep1" xfId="140"/>
    <cellStyle name="Título 3 4" xfId="141"/>
    <cellStyle name="Título 3 5" xfId="142"/>
    <cellStyle name="Título 3 6" xfId="143"/>
    <cellStyle name="Título 3 7" xfId="144"/>
    <cellStyle name="Título 3 7 2" xfId="145"/>
    <cellStyle name="Título 3 8" xfId="146"/>
    <cellStyle name="Total" xfId="147"/>
    <cellStyle name="Warning Text" xfId="148"/>
  </cellStyles>
  <dxfs count="58">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63"/>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xmlMaps" Target="xmlMap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
          <c:w val="0.95725"/>
          <c:h val="0.799"/>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Entry'!$C$33:$P$33</c:f>
              <c:numCache>
                <c:ptCount val="14"/>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Entry'!$C$34:$P$34</c:f>
              <c:numCache>
                <c:ptCount val="14"/>
                <c:pt idx="0">
                  <c:v>1487476.66</c:v>
                </c:pt>
                <c:pt idx="1">
                  <c:v>1990533.66</c:v>
                </c:pt>
                <c:pt idx="2">
                  <c:v>1990533.66</c:v>
                </c:pt>
                <c:pt idx="3">
                  <c:v>1990533.66</c:v>
                </c:pt>
                <c:pt idx="4">
                  <c:v>1990533.66</c:v>
                </c:pt>
                <c:pt idx="5">
                  <c:v>1990533.66</c:v>
                </c:pt>
                <c:pt idx="6">
                  <c:v>1990533.66</c:v>
                </c:pt>
                <c:pt idx="7">
                  <c:v>1990533.66</c:v>
                </c:pt>
                <c:pt idx="8">
                  <c:v>1990533.66</c:v>
                </c:pt>
                <c:pt idx="9">
                  <c:v>1990533.66</c:v>
                </c:pt>
              </c:numCache>
            </c:numRef>
          </c:val>
        </c:ser>
        <c:gapWidth val="70"/>
        <c:axId val="11593419"/>
        <c:axId val="37231908"/>
      </c:barChart>
      <c:catAx>
        <c:axId val="11593419"/>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37231908"/>
        <c:crosses val="autoZero"/>
        <c:auto val="1"/>
        <c:lblOffset val="100"/>
        <c:tickLblSkip val="1"/>
        <c:noMultiLvlLbl val="0"/>
      </c:catAx>
      <c:valAx>
        <c:axId val="3723190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1593419"/>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335" b="0" i="0" u="none" baseline="0">
                <a:solidFill>
                  <a:srgbClr val="000000"/>
                </a:solidFill>
              </a:defRPr>
            </a:pPr>
          </a:p>
        </c:txPr>
      </c:legendEntry>
      <c:legendEntry>
        <c:idx val="1"/>
        <c:txPr>
          <a:bodyPr vert="horz" rot="0"/>
          <a:lstStyle/>
          <a:p>
            <a:pPr>
              <a:defRPr lang="en-US" cap="none" sz="335" b="0" i="0" u="none" baseline="0">
                <a:solidFill>
                  <a:srgbClr val="000000"/>
                </a:solidFill>
              </a:defRPr>
            </a:pPr>
          </a:p>
        </c:txPr>
      </c:legendEntry>
      <c:layout>
        <c:manualLayout>
          <c:xMode val="edge"/>
          <c:yMode val="edge"/>
          <c:x val="0.12325"/>
          <c:y val="0.8955"/>
          <c:w val="0.866"/>
          <c:h val="0.1045"/>
        </c:manualLayout>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Entry'!$H$128:$Q$128</c:f>
              <c:numCache>
                <c:ptCount val="10"/>
                <c:pt idx="0">
                  <c:v>3471</c:v>
                </c:pt>
                <c:pt idx="1">
                  <c:v>3471</c:v>
                </c:pt>
              </c:numCache>
            </c:numRef>
          </c:val>
        </c:ser>
        <c:ser>
          <c:idx val="1"/>
          <c:order val="1"/>
          <c:tx>
            <c:strRef>
              <c:f>'Data Entry'!$G$129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Entry'!$H$129:$Q$129</c:f>
              <c:numCache>
                <c:ptCount val="10"/>
                <c:pt idx="0">
                  <c:v>659</c:v>
                </c:pt>
                <c:pt idx="1">
                  <c:v>1322</c:v>
                </c:pt>
              </c:numCache>
            </c:numRef>
          </c:val>
        </c:ser>
        <c:axId val="39495317"/>
        <c:axId val="19913534"/>
      </c:barChart>
      <c:catAx>
        <c:axId val="394953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9913534"/>
        <c:crosses val="autoZero"/>
        <c:auto val="1"/>
        <c:lblOffset val="100"/>
        <c:tickLblSkip val="1"/>
        <c:noMultiLvlLbl val="0"/>
      </c:catAx>
      <c:valAx>
        <c:axId val="19913534"/>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9495317"/>
        <c:crossesAt val="1"/>
        <c:crossBetween val="between"/>
        <c:dispUnits/>
      </c:valAx>
      <c:spPr>
        <a:noFill/>
        <a:ln>
          <a:noFill/>
        </a:ln>
      </c:spPr>
    </c:plotArea>
    <c:legend>
      <c:legendPos val="r"/>
      <c:layout>
        <c:manualLayout>
          <c:xMode val="edge"/>
          <c:yMode val="edge"/>
          <c:x val="0.169"/>
          <c:y val="0.9175"/>
          <c:w val="0.5935"/>
          <c:h val="0.071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075"/>
          <c:w val="0.9435"/>
          <c:h val="0.86975"/>
        </c:manualLayout>
      </c:layout>
      <c:barChart>
        <c:barDir val="col"/>
        <c:grouping val="clustered"/>
        <c:varyColors val="0"/>
        <c:ser>
          <c:idx val="0"/>
          <c:order val="0"/>
          <c:tx>
            <c:strRef>
              <c:f>'Data Entry'!$G$124</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Entry'!$H$124:$Q$124</c:f>
              <c:numCache>
                <c:ptCount val="10"/>
                <c:pt idx="0">
                  <c:v>4123</c:v>
                </c:pt>
                <c:pt idx="1">
                  <c:v>4124</c:v>
                </c:pt>
              </c:numCache>
            </c:numRef>
          </c:val>
        </c:ser>
        <c:ser>
          <c:idx val="1"/>
          <c:order val="1"/>
          <c:tx>
            <c:strRef>
              <c:f>'Data Entry'!$G$125</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Entry'!$H$125:$Q$125</c:f>
              <c:numCache>
                <c:ptCount val="10"/>
                <c:pt idx="0">
                  <c:v>0</c:v>
                </c:pt>
                <c:pt idx="1">
                  <c:v>7430</c:v>
                </c:pt>
              </c:numCache>
            </c:numRef>
          </c:val>
        </c:ser>
        <c:axId val="45004079"/>
        <c:axId val="2383528"/>
      </c:barChart>
      <c:catAx>
        <c:axId val="4500407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383528"/>
        <c:crosses val="autoZero"/>
        <c:auto val="1"/>
        <c:lblOffset val="100"/>
        <c:tickLblSkip val="1"/>
        <c:noMultiLvlLbl val="0"/>
      </c:catAx>
      <c:valAx>
        <c:axId val="238352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5004079"/>
        <c:crossesAt val="1"/>
        <c:crossBetween val="between"/>
        <c:dispUnits/>
      </c:valAx>
      <c:spPr>
        <a:noFill/>
        <a:ln>
          <a:noFill/>
        </a:ln>
      </c:spPr>
    </c:plotArea>
    <c:legend>
      <c:legendPos val="r"/>
      <c:layout>
        <c:manualLayout>
          <c:xMode val="edge"/>
          <c:yMode val="edge"/>
          <c:x val="0.1775"/>
          <c:y val="0.9135"/>
          <c:w val="0.59775"/>
          <c:h val="0.0702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Entry'!$C$33:$M$33</c:f>
              <c:numCache>
                <c:ptCount val="11"/>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Entry'!$C$34:$M$34</c:f>
              <c:numCache>
                <c:ptCount val="11"/>
                <c:pt idx="0">
                  <c:v>1487476.66</c:v>
                </c:pt>
                <c:pt idx="1">
                  <c:v>1990533.66</c:v>
                </c:pt>
                <c:pt idx="2">
                  <c:v>1990533.66</c:v>
                </c:pt>
                <c:pt idx="3">
                  <c:v>1990533.66</c:v>
                </c:pt>
                <c:pt idx="4">
                  <c:v>1990533.66</c:v>
                </c:pt>
                <c:pt idx="5">
                  <c:v>1990533.66</c:v>
                </c:pt>
                <c:pt idx="6">
                  <c:v>1990533.66</c:v>
                </c:pt>
                <c:pt idx="7">
                  <c:v>1990533.66</c:v>
                </c:pt>
                <c:pt idx="8">
                  <c:v>1990533.66</c:v>
                </c:pt>
                <c:pt idx="9">
                  <c:v>1990533.66</c:v>
                </c:pt>
              </c:numCache>
            </c:numRef>
          </c:val>
        </c:ser>
        <c:dropLines>
          <c:spPr>
            <a:ln w="3175">
              <a:solidFill>
                <a:srgbClr val="000000"/>
              </a:solidFill>
            </a:ln>
          </c:spPr>
        </c:dropLines>
        <c:axId val="21451753"/>
        <c:axId val="58848050"/>
      </c:areaChart>
      <c:catAx>
        <c:axId val="2145175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58848050"/>
        <c:crosses val="autoZero"/>
        <c:auto val="1"/>
        <c:lblOffset val="100"/>
        <c:tickLblSkip val="8"/>
        <c:noMultiLvlLbl val="0"/>
      </c:catAx>
      <c:valAx>
        <c:axId val="58848050"/>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1451753"/>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35"/>
          <c:w val="0.894"/>
          <c:h val="0.9087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Entry'!$B$58:$B$61</c:f>
              <c:strCache>
                <c:ptCount val="4"/>
                <c:pt idx="0">
                  <c:v>Disbursed by Global Fund</c:v>
                </c:pt>
                <c:pt idx="1">
                  <c:v>PR expenditure and disbursement</c:v>
                </c:pt>
                <c:pt idx="2">
                  <c:v>Disbursed to SRs</c:v>
                </c:pt>
                <c:pt idx="3">
                  <c:v>SR expenditures</c:v>
                </c:pt>
              </c:strCache>
            </c:strRef>
          </c:cat>
          <c:val>
            <c:numRef>
              <c:f>'Data Entry'!$C$58:$C$61</c:f>
              <c:numCache>
                <c:ptCount val="4"/>
                <c:pt idx="0">
                  <c:v>1487476.66</c:v>
                </c:pt>
                <c:pt idx="1">
                  <c:v>242606</c:v>
                </c:pt>
                <c:pt idx="2">
                  <c:v>34667</c:v>
                </c:pt>
                <c:pt idx="3">
                  <c:v>30887</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Entry'!$B$58:$B$61</c:f>
              <c:strCache>
                <c:ptCount val="4"/>
                <c:pt idx="0">
                  <c:v>Disbursed by Global Fund</c:v>
                </c:pt>
                <c:pt idx="1">
                  <c:v>PR expenditure and disbursement</c:v>
                </c:pt>
                <c:pt idx="2">
                  <c:v>Disbursed to SRs</c:v>
                </c:pt>
                <c:pt idx="3">
                  <c:v>SR expenditures</c:v>
                </c:pt>
              </c:strCache>
            </c:strRef>
          </c:cat>
          <c:val>
            <c:numRef>
              <c:f>'Data Entry'!$D$58:$D$61</c:f>
              <c:numCache>
                <c:ptCount val="4"/>
                <c:pt idx="0">
                  <c:v>503057</c:v>
                </c:pt>
                <c:pt idx="1">
                  <c:v>979990.87</c:v>
                </c:pt>
                <c:pt idx="2">
                  <c:v>777373.28</c:v>
                </c:pt>
                <c:pt idx="3">
                  <c:v>604793.84</c:v>
                </c:pt>
              </c:numCache>
            </c:numRef>
          </c:val>
        </c:ser>
        <c:overlap val="100"/>
        <c:axId val="66651717"/>
        <c:axId val="62994542"/>
      </c:barChart>
      <c:catAx>
        <c:axId val="66651717"/>
        <c:scaling>
          <c:orientation val="minMax"/>
        </c:scaling>
        <c:axPos val="b"/>
        <c:delete val="0"/>
        <c:numFmt formatCode="General" sourceLinked="1"/>
        <c:majorTickMark val="out"/>
        <c:minorTickMark val="none"/>
        <c:tickLblPos val="nextTo"/>
        <c:spPr>
          <a:ln w="3175">
            <a:solidFill>
              <a:srgbClr val="808080"/>
            </a:solidFill>
          </a:ln>
        </c:spPr>
        <c:crossAx val="62994542"/>
        <c:crossesAt val="0"/>
        <c:auto val="1"/>
        <c:lblOffset val="100"/>
        <c:tickLblSkip val="1"/>
        <c:noMultiLvlLbl val="0"/>
      </c:catAx>
      <c:valAx>
        <c:axId val="6299454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665171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375"/>
          <c:w val="0.94475"/>
          <c:h val="0.748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Entry'!$C$39:$C$43</c:f>
              <c:numCache>
                <c:ptCount val="5"/>
                <c:pt idx="0">
                  <c:v>476308.08</c:v>
                </c:pt>
                <c:pt idx="1">
                  <c:v>148366.84</c:v>
                </c:pt>
                <c:pt idx="2">
                  <c:v>98463.28</c:v>
                </c:pt>
                <c:pt idx="3">
                  <c:v>31152.34</c:v>
                </c:pt>
                <c:pt idx="4">
                  <c:v>2037067.54</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Entry'!$D$39:$D$43</c:f>
              <c:numCache>
                <c:ptCount val="5"/>
                <c:pt idx="0">
                  <c:v>300096.43</c:v>
                </c:pt>
                <c:pt idx="1">
                  <c:v>1693.1</c:v>
                </c:pt>
                <c:pt idx="2">
                  <c:v>58308.51</c:v>
                </c:pt>
                <c:pt idx="3">
                  <c:v>297.26</c:v>
                </c:pt>
                <c:pt idx="4">
                  <c:v>685841.152001532</c:v>
                </c:pt>
              </c:numCache>
            </c:numRef>
          </c:val>
        </c:ser>
        <c:axId val="30079967"/>
        <c:axId val="2284248"/>
      </c:barChart>
      <c:catAx>
        <c:axId val="30079967"/>
        <c:scaling>
          <c:orientation val="minMax"/>
        </c:scaling>
        <c:axPos val="b"/>
        <c:delete val="0"/>
        <c:numFmt formatCode="General" sourceLinked="1"/>
        <c:majorTickMark val="out"/>
        <c:minorTickMark val="none"/>
        <c:tickLblPos val="nextTo"/>
        <c:spPr>
          <a:ln w="3175">
            <a:solidFill>
              <a:srgbClr val="000000"/>
            </a:solidFill>
          </a:ln>
        </c:spPr>
        <c:crossAx val="2284248"/>
        <c:crosses val="autoZero"/>
        <c:auto val="1"/>
        <c:lblOffset val="100"/>
        <c:tickLblSkip val="1"/>
        <c:noMultiLvlLbl val="0"/>
      </c:catAx>
      <c:valAx>
        <c:axId val="228424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3007996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Entry'!$C$85</c:f>
              <c:numCache>
                <c:ptCount val="1"/>
              </c:numCache>
            </c:numRef>
          </c:val>
        </c:ser>
        <c:overlap val="100"/>
        <c:gapWidth val="79"/>
        <c:axId val="20558233"/>
        <c:axId val="50806370"/>
      </c:barChart>
      <c:catAx>
        <c:axId val="20558233"/>
        <c:scaling>
          <c:orientation val="minMax"/>
        </c:scaling>
        <c:axPos val="l"/>
        <c:delete val="1"/>
        <c:majorTickMark val="out"/>
        <c:minorTickMark val="none"/>
        <c:tickLblPos val="nextTo"/>
        <c:crossAx val="50806370"/>
        <c:crosses val="autoZero"/>
        <c:auto val="1"/>
        <c:lblOffset val="100"/>
        <c:tickLblSkip val="1"/>
        <c:noMultiLvlLbl val="0"/>
      </c:catAx>
      <c:valAx>
        <c:axId val="5080637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0558233"/>
        <c:crosses val="max"/>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19875"/>
          <c:h val="0.14725"/>
        </c:manualLayout>
      </c:layout>
      <c:overlay val="0"/>
      <c:spPr>
        <a:noFill/>
        <a:ln w="3175">
          <a:noFill/>
        </a:ln>
      </c:spPr>
      <c:txPr>
        <a:bodyPr vert="horz" rot="0"/>
        <a:lstStyle/>
        <a:p>
          <a:pPr>
            <a:defRPr lang="en-US" cap="none" sz="3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
          <c:w val="0.976"/>
          <c:h val="0.75175"/>
        </c:manualLayout>
      </c:layout>
      <c:barChart>
        <c:barDir val="col"/>
        <c:grouping val="clustered"/>
        <c:varyColors val="0"/>
        <c:ser>
          <c:idx val="0"/>
          <c:order val="0"/>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Entry'!$C$90</c:f>
              <c:numCache>
                <c:ptCount val="1"/>
                <c:pt idx="0">
                  <c:v>2</c:v>
                </c:pt>
              </c:numCache>
            </c:numRef>
          </c:val>
        </c:ser>
        <c:overlap val="-20"/>
        <c:axId val="54604147"/>
        <c:axId val="21675276"/>
      </c:barChart>
      <c:catAx>
        <c:axId val="54604147"/>
        <c:scaling>
          <c:orientation val="minMax"/>
        </c:scaling>
        <c:axPos val="b"/>
        <c:delete val="0"/>
        <c:numFmt formatCode="General" sourceLinked="1"/>
        <c:majorTickMark val="none"/>
        <c:minorTickMark val="none"/>
        <c:tickLblPos val="none"/>
        <c:spPr>
          <a:ln w="3175">
            <a:solidFill>
              <a:srgbClr val="000000"/>
            </a:solidFill>
          </a:ln>
        </c:spPr>
        <c:crossAx val="21675276"/>
        <c:crosses val="autoZero"/>
        <c:auto val="0"/>
        <c:lblOffset val="100"/>
        <c:tickLblSkip val="1"/>
        <c:noMultiLvlLbl val="0"/>
      </c:catAx>
      <c:valAx>
        <c:axId val="21675276"/>
        <c:scaling>
          <c:orientation val="minMax"/>
        </c:scaling>
        <c:axPos val="l"/>
        <c:delete val="0"/>
        <c:numFmt formatCode="General" sourceLinked="1"/>
        <c:majorTickMark val="out"/>
        <c:minorTickMark val="none"/>
        <c:tickLblPos val="nextTo"/>
        <c:spPr>
          <a:ln w="3175">
            <a:solidFill>
              <a:srgbClr val="000000"/>
            </a:solidFill>
          </a:ln>
        </c:spPr>
        <c:crossAx val="54604147"/>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325"/>
          <c:h val="0.84075"/>
        </c:manualLayout>
      </c:layout>
      <c:barChart>
        <c:barDir val="bar"/>
        <c:grouping val="percentStacked"/>
        <c:varyColors val="0"/>
        <c:ser>
          <c:idx val="0"/>
          <c:order val="0"/>
          <c:tx>
            <c:strRef>
              <c:f>'Data Entry'!$D$77</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Entry'!$D$78:$D$79</c:f>
              <c:numCache>
                <c:ptCount val="2"/>
              </c:numCache>
            </c:numRef>
          </c:val>
        </c:ser>
        <c:ser>
          <c:idx val="1"/>
          <c:order val="1"/>
          <c:tx>
            <c:strRef>
              <c:f>'Data Entry'!$E$77</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Entry'!$E$78:$E$79</c:f>
              <c:numCache>
                <c:ptCount val="2"/>
              </c:numCache>
            </c:numRef>
          </c:val>
        </c:ser>
        <c:ser>
          <c:idx val="2"/>
          <c:order val="2"/>
          <c:tx>
            <c:strRef>
              <c:f>'Data Entry'!$F$77</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Entry'!$F$78:$F$79</c:f>
              <c:numCache>
                <c:ptCount val="2"/>
              </c:numCache>
            </c:numRef>
          </c:val>
        </c:ser>
        <c:overlap val="100"/>
        <c:gapWidth val="70"/>
        <c:axId val="60859757"/>
        <c:axId val="10866902"/>
      </c:barChart>
      <c:catAx>
        <c:axId val="608597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866902"/>
        <c:crosses val="autoZero"/>
        <c:auto val="1"/>
        <c:lblOffset val="100"/>
        <c:tickLblSkip val="1"/>
        <c:noMultiLvlLbl val="0"/>
      </c:catAx>
      <c:valAx>
        <c:axId val="108669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859757"/>
        <c:crossesAt val="1"/>
        <c:crossBetween val="between"/>
        <c:dispUnits/>
      </c:valAx>
      <c:spPr>
        <a:noFill/>
        <a:ln>
          <a:noFill/>
        </a:ln>
      </c:spPr>
    </c:plotArea>
    <c:legend>
      <c:legendPos val="r"/>
      <c:layout>
        <c:manualLayout>
          <c:xMode val="edge"/>
          <c:yMode val="edge"/>
          <c:x val="0.02575"/>
          <c:y val="0.8275"/>
          <c:w val="0.97425"/>
          <c:h val="0.1637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9875"/>
          <c:w val="0.978"/>
          <c:h val="0.76075"/>
        </c:manualLayout>
      </c:layout>
      <c:barChart>
        <c:barDir val="bar"/>
        <c:grouping val="percentStacked"/>
        <c:varyColors val="0"/>
        <c:ser>
          <c:idx val="1"/>
          <c:order val="0"/>
          <c:tx>
            <c:strRef>
              <c:f>'Data Entry'!$D$94</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Entry'!$B$95:$B$96</c:f>
              <c:strCache>
                <c:ptCount val="2"/>
                <c:pt idx="0">
                  <c:v>SSR to SR</c:v>
                </c:pt>
                <c:pt idx="1">
                  <c:v>SRs to PR</c:v>
                </c:pt>
              </c:strCache>
            </c:strRef>
          </c:cat>
          <c:val>
            <c:numRef>
              <c:f>'Data Entry'!$D$95:$D$96</c:f>
              <c:numCache>
                <c:ptCount val="2"/>
                <c:pt idx="0">
                  <c:v>2</c:v>
                </c:pt>
                <c:pt idx="1">
                  <c:v>0</c:v>
                </c:pt>
              </c:numCache>
            </c:numRef>
          </c:val>
        </c:ser>
        <c:ser>
          <c:idx val="2"/>
          <c:order val="1"/>
          <c:tx>
            <c:strRef>
              <c:f>'Data Entry'!$E$94</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Entry'!$B$95:$B$96</c:f>
              <c:strCache>
                <c:ptCount val="2"/>
                <c:pt idx="0">
                  <c:v>SSR to SR</c:v>
                </c:pt>
                <c:pt idx="1">
                  <c:v>SRs to PR</c:v>
                </c:pt>
              </c:strCache>
            </c:strRef>
          </c:cat>
          <c:val>
            <c:numRef>
              <c:f>'Data Entry'!$E$95:$E$96</c:f>
              <c:numCache>
                <c:ptCount val="2"/>
                <c:pt idx="0">
                  <c:v>2</c:v>
                </c:pt>
                <c:pt idx="1">
                  <c:v>2</c:v>
                </c:pt>
              </c:numCache>
            </c:numRef>
          </c:val>
        </c:ser>
        <c:overlap val="100"/>
        <c:gapWidth val="101"/>
        <c:axId val="30693255"/>
        <c:axId val="7803840"/>
      </c:barChart>
      <c:catAx>
        <c:axId val="30693255"/>
        <c:scaling>
          <c:orientation val="minMax"/>
        </c:scaling>
        <c:axPos val="l"/>
        <c:delete val="0"/>
        <c:numFmt formatCode="General" sourceLinked="1"/>
        <c:majorTickMark val="out"/>
        <c:minorTickMark val="none"/>
        <c:tickLblPos val="nextTo"/>
        <c:spPr>
          <a:ln w="3175">
            <a:solidFill>
              <a:srgbClr val="000000"/>
            </a:solidFill>
          </a:ln>
        </c:spPr>
        <c:crossAx val="7803840"/>
        <c:crosses val="autoZero"/>
        <c:auto val="1"/>
        <c:lblOffset val="100"/>
        <c:tickLblSkip val="1"/>
        <c:noMultiLvlLbl val="0"/>
      </c:catAx>
      <c:valAx>
        <c:axId val="780384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0693255"/>
        <c:crosses val="max"/>
        <c:crossBetween val="between"/>
        <c:dispUnits/>
      </c:valAx>
      <c:spPr>
        <a:solidFill>
          <a:srgbClr val="FFFFFF"/>
        </a:solidFill>
        <a:ln w="3175">
          <a:noFill/>
        </a:ln>
      </c:spPr>
    </c:plotArea>
    <c:legend>
      <c:legendPos val="r"/>
      <c:layout>
        <c:manualLayout>
          <c:xMode val="edge"/>
          <c:yMode val="edge"/>
          <c:x val="0.32225"/>
          <c:y val="0.8255"/>
          <c:w val="0.36175"/>
          <c:h val="0.13375"/>
        </c:manualLayout>
      </c:layout>
      <c:overlay val="0"/>
      <c:spPr>
        <a:noFill/>
        <a:ln w="3175">
          <a:noFill/>
        </a:ln>
      </c:spPr>
      <c:txPr>
        <a:bodyPr vert="horz" rot="0"/>
        <a:lstStyle/>
        <a:p>
          <a:pPr>
            <a:defRPr lang="en-US" cap="none" sz="3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75"/>
          <c:w val="0.902"/>
          <c:h val="0.73375"/>
        </c:manualLayout>
      </c:layout>
      <c:lineChart>
        <c:grouping val="standard"/>
        <c:varyColors val="0"/>
        <c:ser>
          <c:idx val="0"/>
          <c:order val="0"/>
          <c:tx>
            <c:strRef>
              <c:f>'Data Entry'!$B$104</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Entry'!$C$104:$N$104</c:f>
              <c:numCache>
                <c:ptCount val="12"/>
                <c:pt idx="0">
                  <c:v>0</c:v>
                </c:pt>
                <c:pt idx="1">
                  <c:v>0</c:v>
                </c:pt>
                <c:pt idx="2">
                  <c:v>0</c:v>
                </c:pt>
                <c:pt idx="3">
                  <c:v>0</c:v>
                </c:pt>
                <c:pt idx="4">
                  <c:v>0</c:v>
                </c:pt>
                <c:pt idx="5">
                  <c:v>0</c:v>
                </c:pt>
                <c:pt idx="6">
                  <c:v>0</c:v>
                </c:pt>
                <c:pt idx="7">
                  <c:v>0</c:v>
                </c:pt>
                <c:pt idx="8">
                  <c:v>0</c:v>
                </c:pt>
                <c:pt idx="9">
                  <c:v>0</c:v>
                </c:pt>
              </c:numCache>
            </c:numRef>
          </c:val>
          <c:smooth val="0"/>
        </c:ser>
        <c:ser>
          <c:idx val="1"/>
          <c:order val="1"/>
          <c:tx>
            <c:strRef>
              <c:f>'Data Entry'!$B$105</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Entry'!$C$105:$N$105</c:f>
              <c:numCache>
                <c:ptCount val="12"/>
                <c:pt idx="0">
                  <c:v>0</c:v>
                </c:pt>
                <c:pt idx="1">
                  <c:v>0</c:v>
                </c:pt>
                <c:pt idx="2">
                  <c:v>0</c:v>
                </c:pt>
                <c:pt idx="3">
                  <c:v>0</c:v>
                </c:pt>
                <c:pt idx="4">
                  <c:v>0</c:v>
                </c:pt>
                <c:pt idx="5">
                  <c:v>0</c:v>
                </c:pt>
                <c:pt idx="6">
                  <c:v>0</c:v>
                </c:pt>
                <c:pt idx="7">
                  <c:v>0</c:v>
                </c:pt>
                <c:pt idx="8">
                  <c:v>0</c:v>
                </c:pt>
                <c:pt idx="9">
                  <c:v>0</c:v>
                </c:pt>
              </c:numCache>
            </c:numRef>
          </c:val>
          <c:smooth val="0"/>
        </c:ser>
        <c:ser>
          <c:idx val="2"/>
          <c:order val="2"/>
          <c:tx>
            <c:strRef>
              <c:f>'Data Entry'!$B$106</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Entry'!$C$106:$N$106</c:f>
              <c:numCache>
                <c:ptCount val="12"/>
                <c:pt idx="0">
                  <c:v>0</c:v>
                </c:pt>
                <c:pt idx="1">
                  <c:v>0</c:v>
                </c:pt>
                <c:pt idx="2">
                  <c:v>0</c:v>
                </c:pt>
                <c:pt idx="3">
                  <c:v>0</c:v>
                </c:pt>
                <c:pt idx="4">
                  <c:v>0</c:v>
                </c:pt>
                <c:pt idx="5">
                  <c:v>0</c:v>
                </c:pt>
                <c:pt idx="6">
                  <c:v>0</c:v>
                </c:pt>
                <c:pt idx="7">
                  <c:v>0</c:v>
                </c:pt>
                <c:pt idx="8">
                  <c:v>0</c:v>
                </c:pt>
                <c:pt idx="9">
                  <c:v>0</c:v>
                </c:pt>
              </c:numCache>
            </c:numRef>
          </c:val>
          <c:smooth val="0"/>
        </c:ser>
        <c:marker val="1"/>
        <c:axId val="3125697"/>
        <c:axId val="28131274"/>
      </c:lineChart>
      <c:catAx>
        <c:axId val="31256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28131274"/>
        <c:crosses val="autoZero"/>
        <c:auto val="1"/>
        <c:lblOffset val="100"/>
        <c:tickLblSkip val="1"/>
        <c:noMultiLvlLbl val="0"/>
      </c:catAx>
      <c:valAx>
        <c:axId val="281312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125697"/>
        <c:crossesAt val="1"/>
        <c:crossBetween val="between"/>
        <c:dispUnits/>
      </c:valAx>
      <c:spPr>
        <a:solidFill>
          <a:srgbClr val="FFFFFF"/>
        </a:solidFill>
        <a:ln w="12700">
          <a:solidFill>
            <a:srgbClr val="808080"/>
          </a:solidFill>
        </a:ln>
      </c:spPr>
    </c:plotArea>
    <c:legend>
      <c:legendPos val="r"/>
      <c:layout>
        <c:manualLayout>
          <c:xMode val="edge"/>
          <c:yMode val="edge"/>
          <c:x val="0.051"/>
          <c:y val="0.69375"/>
          <c:w val="0.944"/>
          <c:h val="0.17925"/>
        </c:manualLayout>
      </c:layout>
      <c:overlay val="0"/>
      <c:spPr>
        <a:noFill/>
        <a:ln w="3175">
          <a:noFill/>
        </a:ln>
      </c:spPr>
      <c:txPr>
        <a:bodyPr vert="horz" rot="0"/>
        <a:lstStyle/>
        <a:p>
          <a:pPr>
            <a:defRPr lang="en-US" cap="none" sz="24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95325"/>
          <c:h val="0.85975"/>
        </c:manualLayout>
      </c:layout>
      <c:barChart>
        <c:barDir val="col"/>
        <c:grouping val="clustered"/>
        <c:varyColors val="0"/>
        <c:ser>
          <c:idx val="0"/>
          <c:order val="0"/>
          <c:tx>
            <c:strRef>
              <c:f>'Data Entry'!$G$126</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Entry'!$H$126:$Q$126</c:f>
              <c:numCache>
                <c:ptCount val="10"/>
                <c:pt idx="0">
                  <c:v>2057</c:v>
                </c:pt>
                <c:pt idx="1">
                  <c:v>2058</c:v>
                </c:pt>
              </c:numCache>
            </c:numRef>
          </c:val>
        </c:ser>
        <c:ser>
          <c:idx val="1"/>
          <c:order val="1"/>
          <c:tx>
            <c:strRef>
              <c:f>'Data Entry'!$G$127</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Entry'!$H$127:$Q$127</c:f>
              <c:numCache>
                <c:ptCount val="10"/>
                <c:pt idx="0">
                  <c:v>0</c:v>
                </c:pt>
                <c:pt idx="1">
                  <c:v>2054</c:v>
                </c:pt>
              </c:numCache>
            </c:numRef>
          </c:val>
        </c:ser>
        <c:axId val="51854875"/>
        <c:axId val="64040692"/>
      </c:barChart>
      <c:catAx>
        <c:axId val="5185487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4040692"/>
        <c:crosses val="autoZero"/>
        <c:auto val="1"/>
        <c:lblOffset val="100"/>
        <c:tickLblSkip val="1"/>
        <c:noMultiLvlLbl val="0"/>
      </c:catAx>
      <c:valAx>
        <c:axId val="6404069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1854875"/>
        <c:crossesAt val="1"/>
        <c:crossBetween val="between"/>
        <c:dispUnits/>
      </c:valAx>
      <c:spPr>
        <a:noFill/>
        <a:ln>
          <a:noFill/>
        </a:ln>
      </c:spPr>
    </c:plotArea>
    <c:legend>
      <c:legendPos val="r"/>
      <c:layout>
        <c:manualLayout>
          <c:xMode val="edge"/>
          <c:yMode val="edge"/>
          <c:x val="0.17575"/>
          <c:y val="0.924"/>
          <c:w val="0.598"/>
          <c:h val="0.070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57150</xdr:rowOff>
    </xdr:to>
    <xdr:sp>
      <xdr:nvSpPr>
        <xdr:cNvPr id="16" name="Rectangle 803"/>
        <xdr:cNvSpPr>
          <a:spLocks/>
        </xdr:cNvSpPr>
      </xdr:nvSpPr>
      <xdr:spPr>
        <a:xfrm>
          <a:off x="2686050" y="1428750"/>
          <a:ext cx="2362200" cy="247650"/>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342900</xdr:colOff>
      <xdr:row>7</xdr:row>
      <xdr:rowOff>95250</xdr:rowOff>
    </xdr:from>
    <xdr:ext cx="2000250" cy="381000"/>
    <xdr:sp>
      <xdr:nvSpPr>
        <xdr:cNvPr id="46" name="Text Box 2013"/>
        <xdr:cNvSpPr txBox="1">
          <a:spLocks noChangeArrowheads="1"/>
        </xdr:cNvSpPr>
      </xdr:nvSpPr>
      <xdr:spPr>
        <a:xfrm>
          <a:off x="419100" y="1905000"/>
          <a:ext cx="2000250"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581025</xdr:colOff>
      <xdr:row>7</xdr:row>
      <xdr:rowOff>95250</xdr:rowOff>
    </xdr:from>
    <xdr:ext cx="1971675" cy="381000"/>
    <xdr:sp>
      <xdr:nvSpPr>
        <xdr:cNvPr id="48" name="Text Box 2017"/>
        <xdr:cNvSpPr txBox="1">
          <a:spLocks noChangeArrowheads="1"/>
        </xdr:cNvSpPr>
      </xdr:nvSpPr>
      <xdr:spPr>
        <a:xfrm>
          <a:off x="2943225" y="1905000"/>
          <a:ext cx="197167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81000"/>
    <xdr:sp>
      <xdr:nvSpPr>
        <xdr:cNvPr id="50" name="Text Box 2019"/>
        <xdr:cNvSpPr txBox="1">
          <a:spLocks noChangeArrowheads="1"/>
        </xdr:cNvSpPr>
      </xdr:nvSpPr>
      <xdr:spPr>
        <a:xfrm>
          <a:off x="5467350" y="1905000"/>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952500</xdr:colOff>
      <xdr:row>1</xdr:row>
      <xdr:rowOff>9525</xdr:rowOff>
    </xdr:to>
    <xdr:sp>
      <xdr:nvSpPr>
        <xdr:cNvPr id="1" name="AutoShape 50">
          <a:hlinkClick r:id="rId1"/>
        </xdr:cNvPr>
        <xdr:cNvSpPr>
          <a:spLocks/>
        </xdr:cNvSpPr>
      </xdr:nvSpPr>
      <xdr:spPr>
        <a:xfrm>
          <a:off x="47625" y="0"/>
          <a:ext cx="1085850"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43</xdr:row>
      <xdr:rowOff>0</xdr:rowOff>
    </xdr:to>
    <xdr:sp>
      <xdr:nvSpPr>
        <xdr:cNvPr id="2" name="AutoShape 100"/>
        <xdr:cNvSpPr>
          <a:spLocks/>
        </xdr:cNvSpPr>
      </xdr:nvSpPr>
      <xdr:spPr>
        <a:xfrm rot="5400000">
          <a:off x="10877550" y="5381625"/>
          <a:ext cx="0" cy="1781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43</xdr:row>
      <xdr:rowOff>104775</xdr:rowOff>
    </xdr:from>
    <xdr:to>
      <xdr:col>4</xdr:col>
      <xdr:colOff>1057275</xdr:colOff>
      <xdr:row>43</xdr:row>
      <xdr:rowOff>104775</xdr:rowOff>
    </xdr:to>
    <xdr:sp>
      <xdr:nvSpPr>
        <xdr:cNvPr id="3" name="AutoShape 101"/>
        <xdr:cNvSpPr>
          <a:spLocks/>
        </xdr:cNvSpPr>
      </xdr:nvSpPr>
      <xdr:spPr>
        <a:xfrm rot="10800000">
          <a:off x="7524750" y="726757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1152525</xdr:colOff>
      <xdr:row>2</xdr:row>
      <xdr:rowOff>457200</xdr:rowOff>
    </xdr:to>
    <xdr:sp>
      <xdr:nvSpPr>
        <xdr:cNvPr id="1" name="Rectangle 117">
          <a:hlinkClick r:id="rId1"/>
        </xdr:cNvPr>
        <xdr:cNvSpPr>
          <a:spLocks/>
        </xdr:cNvSpPr>
      </xdr:nvSpPr>
      <xdr:spPr>
        <a:xfrm>
          <a:off x="190500" y="590550"/>
          <a:ext cx="962025"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1104900</xdr:colOff>
      <xdr:row>1</xdr:row>
      <xdr:rowOff>95250</xdr:rowOff>
    </xdr:to>
    <xdr:sp>
      <xdr:nvSpPr>
        <xdr:cNvPr id="2" name="AutoShape 50">
          <a:hlinkClick r:id="rId2"/>
        </xdr:cNvPr>
        <xdr:cNvSpPr>
          <a:spLocks/>
        </xdr:cNvSpPr>
      </xdr:nvSpPr>
      <xdr:spPr>
        <a:xfrm>
          <a:off x="38100" y="19050"/>
          <a:ext cx="10668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152400</xdr:colOff>
      <xdr:row>32</xdr:row>
      <xdr:rowOff>180975</xdr:rowOff>
    </xdr:to>
    <xdr:grpSp>
      <xdr:nvGrpSpPr>
        <xdr:cNvPr id="6" name="Group 490"/>
        <xdr:cNvGrpSpPr>
          <a:grpSpLocks/>
        </xdr:cNvGrpSpPr>
      </xdr:nvGrpSpPr>
      <xdr:grpSpPr>
        <a:xfrm>
          <a:off x="0" y="4810125"/>
          <a:ext cx="4029075" cy="245745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2</xdr:col>
      <xdr:colOff>0</xdr:colOff>
      <xdr:row>0</xdr:row>
      <xdr:rowOff>342900</xdr:rowOff>
    </xdr:to>
    <xdr:sp>
      <xdr:nvSpPr>
        <xdr:cNvPr id="6" name="AutoShape 50">
          <a:hlinkClick r:id="rId6"/>
        </xdr:cNvPr>
        <xdr:cNvSpPr>
          <a:spLocks/>
        </xdr:cNvSpPr>
      </xdr:nvSpPr>
      <xdr:spPr>
        <a:xfrm>
          <a:off x="47625" y="19050"/>
          <a:ext cx="866775" cy="3238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867150" y="2171700"/>
        <a:ext cx="29051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7077075" y="2200275"/>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219325"/>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7">
      <selection activeCell="M5" sqref="M5"/>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21" t="str">
        <f>+'Grant Detail'!B3:J3</f>
        <v>Dashboard:  Ghana - HIV / AIDS</v>
      </c>
      <c r="C2" s="521"/>
      <c r="D2" s="521"/>
      <c r="E2" s="521"/>
      <c r="F2" s="521"/>
      <c r="G2" s="521"/>
      <c r="H2" s="521"/>
      <c r="I2" s="521"/>
      <c r="J2" s="521"/>
      <c r="K2" s="521"/>
      <c r="L2" s="521"/>
      <c r="M2" s="1"/>
      <c r="N2" s="1"/>
      <c r="O2" s="1"/>
    </row>
    <row r="4" spans="2:12" ht="21">
      <c r="B4" s="522" t="str">
        <f>+IF('Data Entry'!G6="Please Select","",'Data Entry'!G6)&amp;"  "&amp;+IF('Data Entry'!G8="Please Select","",'Data Entry'!G8&amp;",  ")&amp;+IF('Data Entry'!I8="Please Select","",'Data Entry'!I8)</f>
        <v>HIV / AIDS  NFM</v>
      </c>
      <c r="C4" s="522"/>
      <c r="D4" s="522"/>
      <c r="E4" s="523"/>
      <c r="F4" s="225"/>
      <c r="G4" s="225"/>
      <c r="H4" s="341" t="str">
        <f>+'Data Entry'!B6&amp;" "&amp;+'Data Entry'!C6</f>
        <v>Grant No.: GHA-H-GAC-786</v>
      </c>
      <c r="I4" s="341"/>
      <c r="J4" s="224"/>
      <c r="K4" s="225"/>
      <c r="L4" s="225"/>
    </row>
    <row r="22" spans="2:12" ht="26.25">
      <c r="B22" s="524" t="s">
        <v>404</v>
      </c>
      <c r="C22" s="525"/>
      <c r="D22" s="525"/>
      <c r="E22" s="525"/>
      <c r="F22" s="525"/>
      <c r="G22" s="525"/>
      <c r="H22" s="525"/>
      <c r="I22" s="525"/>
      <c r="J22" s="525"/>
      <c r="K22" s="525"/>
      <c r="L22" s="525"/>
    </row>
  </sheetData>
  <sheetProtection/>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A1">
      <selection activeCell="D10" sqref="D10"/>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31" t="str">
        <f>'Grant Detail'!B3:J3</f>
        <v>Dashboard:  Ghana - HIV / AIDS</v>
      </c>
      <c r="C3" s="931"/>
      <c r="D3" s="931"/>
      <c r="E3" s="931"/>
      <c r="F3" s="931"/>
      <c r="G3" s="931"/>
      <c r="H3" s="931"/>
      <c r="I3" s="1"/>
    </row>
    <row r="6" spans="2:8" ht="18.75">
      <c r="B6" s="905" t="s">
        <v>317</v>
      </c>
      <c r="C6" s="905"/>
      <c r="D6" s="905"/>
      <c r="E6" s="905"/>
      <c r="F6" s="905"/>
      <c r="G6" s="905"/>
      <c r="H6" s="905"/>
    </row>
    <row r="8" spans="2:15" ht="18.75">
      <c r="B8" s="61" t="s">
        <v>33</v>
      </c>
      <c r="C8" s="61" t="s">
        <v>36</v>
      </c>
      <c r="D8" s="61" t="s">
        <v>37</v>
      </c>
      <c r="E8" s="61" t="s">
        <v>42</v>
      </c>
      <c r="F8" s="61" t="s">
        <v>285</v>
      </c>
      <c r="G8" s="61" t="s">
        <v>264</v>
      </c>
      <c r="H8" s="61" t="s">
        <v>291</v>
      </c>
      <c r="I8" s="62" t="s">
        <v>88</v>
      </c>
      <c r="J8" s="62" t="s">
        <v>128</v>
      </c>
      <c r="M8" s="19"/>
      <c r="N8" s="19"/>
      <c r="O8" s="19"/>
    </row>
    <row r="9" spans="2:15" ht="15">
      <c r="B9" s="85" t="s">
        <v>371</v>
      </c>
      <c r="C9" s="85" t="s">
        <v>371</v>
      </c>
      <c r="D9" s="85" t="s">
        <v>371</v>
      </c>
      <c r="E9" s="85" t="s">
        <v>371</v>
      </c>
      <c r="F9" s="85" t="s">
        <v>371</v>
      </c>
      <c r="G9" s="85" t="s">
        <v>371</v>
      </c>
      <c r="H9" s="85" t="s">
        <v>371</v>
      </c>
      <c r="I9" s="401" t="s">
        <v>371</v>
      </c>
      <c r="J9" s="85" t="s">
        <v>371</v>
      </c>
      <c r="M9" s="19"/>
      <c r="N9" s="19"/>
      <c r="O9" s="19"/>
    </row>
    <row r="10" spans="2:15" ht="15">
      <c r="B10" s="56" t="s">
        <v>28</v>
      </c>
      <c r="C10" s="56" t="s">
        <v>19</v>
      </c>
      <c r="D10" s="56" t="s">
        <v>17</v>
      </c>
      <c r="E10" s="56" t="s">
        <v>18</v>
      </c>
      <c r="F10" s="56" t="s">
        <v>426</v>
      </c>
      <c r="G10" s="409" t="s">
        <v>44</v>
      </c>
      <c r="H10" s="59" t="s">
        <v>49</v>
      </c>
      <c r="I10" s="27" t="s">
        <v>297</v>
      </c>
      <c r="J10" s="85" t="s">
        <v>129</v>
      </c>
      <c r="M10" s="19"/>
      <c r="N10" s="19"/>
      <c r="O10" s="19"/>
    </row>
    <row r="11" spans="2:15" ht="15">
      <c r="B11" s="56" t="s">
        <v>34</v>
      </c>
      <c r="C11" s="56" t="s">
        <v>14</v>
      </c>
      <c r="D11" s="56" t="s">
        <v>20</v>
      </c>
      <c r="E11" s="56" t="s">
        <v>16</v>
      </c>
      <c r="F11" s="56" t="s">
        <v>427</v>
      </c>
      <c r="G11" s="409" t="s">
        <v>45</v>
      </c>
      <c r="H11" s="59" t="s">
        <v>50</v>
      </c>
      <c r="I11" s="27" t="s">
        <v>298</v>
      </c>
      <c r="J11" s="85" t="s">
        <v>130</v>
      </c>
      <c r="M11" s="19"/>
      <c r="N11" s="19"/>
      <c r="O11" s="19"/>
    </row>
    <row r="12" spans="2:15" ht="15">
      <c r="B12" s="56" t="s">
        <v>35</v>
      </c>
      <c r="D12" s="56" t="s">
        <v>23</v>
      </c>
      <c r="E12" s="56" t="s">
        <v>24</v>
      </c>
      <c r="F12" s="56" t="s">
        <v>428</v>
      </c>
      <c r="G12" s="409" t="s">
        <v>46</v>
      </c>
      <c r="H12" s="59" t="s">
        <v>51</v>
      </c>
      <c r="I12" s="27" t="s">
        <v>299</v>
      </c>
      <c r="J12" s="85" t="s">
        <v>131</v>
      </c>
      <c r="M12" s="195"/>
      <c r="N12" s="19"/>
      <c r="O12" s="19"/>
    </row>
    <row r="13" spans="2:15" ht="15">
      <c r="B13" s="56" t="s">
        <v>84</v>
      </c>
      <c r="D13" s="56" t="s">
        <v>25</v>
      </c>
      <c r="E13" s="57" t="s">
        <v>424</v>
      </c>
      <c r="F13" s="56" t="s">
        <v>429</v>
      </c>
      <c r="G13" s="409" t="s">
        <v>47</v>
      </c>
      <c r="H13" s="59" t="s">
        <v>52</v>
      </c>
      <c r="I13" s="27" t="s">
        <v>300</v>
      </c>
      <c r="J13" s="85" t="s">
        <v>132</v>
      </c>
      <c r="M13" s="195"/>
      <c r="N13" s="19"/>
      <c r="O13" s="19"/>
    </row>
    <row r="14" spans="2:15" ht="15">
      <c r="B14" s="56" t="s">
        <v>85</v>
      </c>
      <c r="D14" s="56" t="s">
        <v>38</v>
      </c>
      <c r="F14" s="56" t="s">
        <v>430</v>
      </c>
      <c r="G14" s="409" t="s">
        <v>48</v>
      </c>
      <c r="H14" s="59" t="s">
        <v>53</v>
      </c>
      <c r="I14" s="27" t="s">
        <v>270</v>
      </c>
      <c r="J14" s="85" t="s">
        <v>133</v>
      </c>
      <c r="M14" s="195"/>
      <c r="N14" s="19"/>
      <c r="O14" s="19"/>
    </row>
    <row r="15" spans="4:15" ht="15">
      <c r="D15" s="56" t="s">
        <v>39</v>
      </c>
      <c r="F15" s="56" t="s">
        <v>431</v>
      </c>
      <c r="H15" s="59" t="s">
        <v>54</v>
      </c>
      <c r="I15" s="27" t="s">
        <v>71</v>
      </c>
      <c r="J15" s="85" t="s">
        <v>134</v>
      </c>
      <c r="M15" s="195"/>
      <c r="N15" s="19"/>
      <c r="O15" s="19"/>
    </row>
    <row r="16" spans="4:15" ht="15">
      <c r="D16" s="56" t="s">
        <v>40</v>
      </c>
      <c r="F16" s="56" t="s">
        <v>432</v>
      </c>
      <c r="H16" s="59" t="s">
        <v>55</v>
      </c>
      <c r="I16" s="27" t="s">
        <v>72</v>
      </c>
      <c r="J16" s="85" t="s">
        <v>135</v>
      </c>
      <c r="M16" s="195"/>
      <c r="N16" s="19"/>
      <c r="O16" s="19"/>
    </row>
    <row r="17" spans="4:15" ht="15">
      <c r="D17" s="56" t="s">
        <v>41</v>
      </c>
      <c r="F17" s="56" t="s">
        <v>433</v>
      </c>
      <c r="H17" s="59" t="s">
        <v>56</v>
      </c>
      <c r="I17" s="27" t="s">
        <v>73</v>
      </c>
      <c r="J17" s="85" t="s">
        <v>136</v>
      </c>
      <c r="M17" s="195"/>
      <c r="N17" s="19"/>
      <c r="O17" s="19"/>
    </row>
    <row r="18" spans="4:15" ht="15">
      <c r="D18" s="56" t="s">
        <v>15</v>
      </c>
      <c r="F18" s="56" t="s">
        <v>434</v>
      </c>
      <c r="H18" s="59" t="s">
        <v>57</v>
      </c>
      <c r="I18" s="27" t="s">
        <v>74</v>
      </c>
      <c r="J18" s="85" t="s">
        <v>137</v>
      </c>
      <c r="M18" s="195"/>
      <c r="N18" s="19"/>
      <c r="O18" s="19"/>
    </row>
    <row r="19" spans="4:15" ht="15">
      <c r="D19" s="408" t="s">
        <v>367</v>
      </c>
      <c r="F19" s="56" t="s">
        <v>435</v>
      </c>
      <c r="H19" s="59" t="s">
        <v>58</v>
      </c>
      <c r="I19" s="27" t="s">
        <v>75</v>
      </c>
      <c r="J19" s="85" t="s">
        <v>138</v>
      </c>
      <c r="M19" s="195"/>
      <c r="N19" s="19"/>
      <c r="O19" s="19"/>
    </row>
    <row r="20" spans="4:15" ht="15">
      <c r="D20" s="58"/>
      <c r="F20" s="56"/>
      <c r="H20" s="59" t="s">
        <v>261</v>
      </c>
      <c r="I20" s="27" t="s">
        <v>76</v>
      </c>
      <c r="J20" s="85" t="s">
        <v>139</v>
      </c>
      <c r="M20" s="19"/>
      <c r="N20" s="19"/>
      <c r="O20" s="19"/>
    </row>
    <row r="21" spans="4:15" ht="15">
      <c r="D21" s="60"/>
      <c r="F21" s="56"/>
      <c r="H21" s="60"/>
      <c r="I21" s="27" t="s">
        <v>78</v>
      </c>
      <c r="J21" s="85" t="s">
        <v>140</v>
      </c>
      <c r="M21" s="19"/>
      <c r="N21" s="19"/>
      <c r="O21" s="19"/>
    </row>
    <row r="22" spans="6:15" ht="15">
      <c r="F22" s="56"/>
      <c r="H22" s="60"/>
      <c r="I22" s="27" t="s">
        <v>79</v>
      </c>
      <c r="J22" s="85" t="s">
        <v>141</v>
      </c>
      <c r="M22" s="19"/>
      <c r="N22" s="19"/>
      <c r="O22" s="19"/>
    </row>
    <row r="23" spans="6:15" ht="15">
      <c r="F23" s="56"/>
      <c r="I23" s="27" t="s">
        <v>77</v>
      </c>
      <c r="J23" s="85" t="s">
        <v>142</v>
      </c>
      <c r="M23" s="19"/>
      <c r="N23" s="19"/>
      <c r="O23" s="19"/>
    </row>
    <row r="24" spans="9:15" ht="15">
      <c r="I24" s="27" t="s">
        <v>308</v>
      </c>
      <c r="J24" s="85" t="s">
        <v>143</v>
      </c>
      <c r="M24" s="19"/>
      <c r="N24" s="19"/>
      <c r="O24" s="19"/>
    </row>
    <row r="25" spans="9:10" ht="15">
      <c r="I25" s="44"/>
      <c r="J25" s="85" t="s">
        <v>144</v>
      </c>
    </row>
    <row r="26" spans="9:10" ht="15">
      <c r="I26" s="27" t="s">
        <v>312</v>
      </c>
      <c r="J26" s="85" t="s">
        <v>145</v>
      </c>
    </row>
    <row r="27" spans="9:10" ht="15">
      <c r="I27" s="27" t="s">
        <v>307</v>
      </c>
      <c r="J27" s="85" t="s">
        <v>146</v>
      </c>
    </row>
    <row r="28" spans="9:10" ht="15">
      <c r="I28" s="44"/>
      <c r="J28" s="85" t="s">
        <v>147</v>
      </c>
    </row>
    <row r="29" spans="9:10" ht="15">
      <c r="I29" s="44"/>
      <c r="J29" s="85" t="s">
        <v>148</v>
      </c>
    </row>
    <row r="30" spans="9:10" ht="15">
      <c r="I30" s="44"/>
      <c r="J30" s="85" t="s">
        <v>149</v>
      </c>
    </row>
    <row r="31" ht="15">
      <c r="J31" s="85" t="s">
        <v>150</v>
      </c>
    </row>
    <row r="32" ht="15">
      <c r="J32" s="85" t="s">
        <v>151</v>
      </c>
    </row>
    <row r="33" ht="15">
      <c r="J33" s="85" t="s">
        <v>152</v>
      </c>
    </row>
    <row r="34" ht="15">
      <c r="J34" s="85" t="s">
        <v>153</v>
      </c>
    </row>
    <row r="35" ht="15">
      <c r="J35" s="85" t="s">
        <v>154</v>
      </c>
    </row>
    <row r="36" ht="15">
      <c r="J36" s="85" t="s">
        <v>154</v>
      </c>
    </row>
    <row r="37" ht="15">
      <c r="J37" s="85" t="s">
        <v>155</v>
      </c>
    </row>
    <row r="38" ht="15">
      <c r="J38" s="85" t="s">
        <v>156</v>
      </c>
    </row>
    <row r="39" ht="15">
      <c r="J39" s="85" t="s">
        <v>157</v>
      </c>
    </row>
    <row r="40" ht="15">
      <c r="J40" s="85" t="s">
        <v>158</v>
      </c>
    </row>
    <row r="41" ht="15">
      <c r="J41" s="85" t="s">
        <v>159</v>
      </c>
    </row>
    <row r="42" ht="15">
      <c r="J42" s="85" t="s">
        <v>160</v>
      </c>
    </row>
    <row r="43" ht="15">
      <c r="J43" s="85" t="s">
        <v>161</v>
      </c>
    </row>
    <row r="44" ht="15">
      <c r="J44" s="85" t="s">
        <v>162</v>
      </c>
    </row>
    <row r="45" ht="15">
      <c r="J45" s="85" t="s">
        <v>163</v>
      </c>
    </row>
    <row r="46" ht="15">
      <c r="J46" s="85" t="s">
        <v>164</v>
      </c>
    </row>
    <row r="47" ht="15">
      <c r="J47" s="85" t="s">
        <v>165</v>
      </c>
    </row>
    <row r="48" ht="15">
      <c r="J48" s="85" t="s">
        <v>166</v>
      </c>
    </row>
    <row r="49" ht="15">
      <c r="J49" s="85" t="s">
        <v>167</v>
      </c>
    </row>
    <row r="50" ht="15">
      <c r="J50" s="85" t="s">
        <v>168</v>
      </c>
    </row>
    <row r="51" ht="15">
      <c r="J51" s="85" t="s">
        <v>169</v>
      </c>
    </row>
    <row r="52" ht="15">
      <c r="J52" s="85" t="s">
        <v>170</v>
      </c>
    </row>
    <row r="53" ht="15">
      <c r="J53" s="85" t="s">
        <v>171</v>
      </c>
    </row>
    <row r="54" ht="15">
      <c r="J54" s="85" t="s">
        <v>172</v>
      </c>
    </row>
    <row r="55" ht="15">
      <c r="J55" s="85" t="s">
        <v>173</v>
      </c>
    </row>
    <row r="56" ht="15">
      <c r="J56" s="85" t="s">
        <v>174</v>
      </c>
    </row>
    <row r="57" ht="15">
      <c r="J57" s="85" t="s">
        <v>175</v>
      </c>
    </row>
    <row r="58" ht="15">
      <c r="J58" s="85" t="s">
        <v>176</v>
      </c>
    </row>
    <row r="59" ht="15">
      <c r="J59" s="85" t="s">
        <v>177</v>
      </c>
    </row>
    <row r="60" ht="15">
      <c r="J60" s="85" t="s">
        <v>178</v>
      </c>
    </row>
    <row r="61" ht="15">
      <c r="J61" s="85" t="s">
        <v>179</v>
      </c>
    </row>
    <row r="62" ht="15">
      <c r="J62" s="85" t="s">
        <v>180</v>
      </c>
    </row>
    <row r="63" ht="15">
      <c r="J63" s="85" t="s">
        <v>181</v>
      </c>
    </row>
    <row r="64" ht="15">
      <c r="J64" s="85" t="s">
        <v>182</v>
      </c>
    </row>
    <row r="65" ht="15">
      <c r="J65" s="85" t="s">
        <v>183</v>
      </c>
    </row>
    <row r="66" ht="15">
      <c r="J66" s="85" t="s">
        <v>184</v>
      </c>
    </row>
    <row r="67" ht="15">
      <c r="J67" s="85" t="s">
        <v>185</v>
      </c>
    </row>
    <row r="68" ht="15">
      <c r="J68" s="85" t="s">
        <v>186</v>
      </c>
    </row>
    <row r="69" ht="15">
      <c r="J69" s="85" t="s">
        <v>187</v>
      </c>
    </row>
    <row r="70" ht="15">
      <c r="J70" s="85" t="s">
        <v>188</v>
      </c>
    </row>
    <row r="71" ht="15">
      <c r="J71" s="85" t="s">
        <v>189</v>
      </c>
    </row>
    <row r="72" ht="15">
      <c r="J72" s="85" t="s">
        <v>190</v>
      </c>
    </row>
    <row r="73" ht="15">
      <c r="J73" s="85" t="s">
        <v>191</v>
      </c>
    </row>
    <row r="74" ht="15">
      <c r="J74" s="85" t="s">
        <v>192</v>
      </c>
    </row>
    <row r="75" ht="15">
      <c r="J75" s="85" t="s">
        <v>193</v>
      </c>
    </row>
    <row r="76" ht="15">
      <c r="J76" s="85" t="s">
        <v>194</v>
      </c>
    </row>
    <row r="77" ht="15">
      <c r="J77" s="85" t="s">
        <v>195</v>
      </c>
    </row>
    <row r="78" ht="15">
      <c r="J78" s="85" t="s">
        <v>196</v>
      </c>
    </row>
    <row r="79" ht="15">
      <c r="J79" s="85" t="s">
        <v>197</v>
      </c>
    </row>
    <row r="80" ht="15">
      <c r="J80" s="85" t="s">
        <v>198</v>
      </c>
    </row>
    <row r="81" ht="15">
      <c r="J81" s="85" t="s">
        <v>199</v>
      </c>
    </row>
    <row r="82" ht="15">
      <c r="J82" s="85" t="s">
        <v>200</v>
      </c>
    </row>
    <row r="83" ht="15">
      <c r="J83" s="85" t="s">
        <v>201</v>
      </c>
    </row>
    <row r="84" ht="15">
      <c r="J84" s="85" t="s">
        <v>202</v>
      </c>
    </row>
    <row r="85" ht="15">
      <c r="J85" s="85" t="s">
        <v>203</v>
      </c>
    </row>
    <row r="86" ht="15">
      <c r="J86" s="85" t="s">
        <v>204</v>
      </c>
    </row>
    <row r="87" ht="15">
      <c r="J87" s="85" t="s">
        <v>205</v>
      </c>
    </row>
    <row r="88" ht="15">
      <c r="J88" s="85" t="s">
        <v>206</v>
      </c>
    </row>
    <row r="89" ht="15">
      <c r="J89" s="85" t="s">
        <v>207</v>
      </c>
    </row>
    <row r="90" ht="15">
      <c r="J90" s="85" t="s">
        <v>208</v>
      </c>
    </row>
    <row r="91" ht="15">
      <c r="J91" s="85" t="s">
        <v>209</v>
      </c>
    </row>
    <row r="92" ht="15">
      <c r="J92" s="85" t="s">
        <v>210</v>
      </c>
    </row>
    <row r="93" ht="15">
      <c r="J93" s="85" t="s">
        <v>211</v>
      </c>
    </row>
    <row r="94" ht="15">
      <c r="J94" s="85" t="s">
        <v>212</v>
      </c>
    </row>
    <row r="95" ht="15">
      <c r="J95" s="85" t="s">
        <v>213</v>
      </c>
    </row>
    <row r="96" ht="15">
      <c r="J96" s="85" t="s">
        <v>214</v>
      </c>
    </row>
    <row r="97" ht="15">
      <c r="J97" s="85" t="s">
        <v>215</v>
      </c>
    </row>
    <row r="98" ht="15">
      <c r="J98" s="85" t="s">
        <v>216</v>
      </c>
    </row>
    <row r="99" ht="15">
      <c r="J99" s="85" t="s">
        <v>217</v>
      </c>
    </row>
    <row r="100" ht="15">
      <c r="J100" s="85" t="s">
        <v>218</v>
      </c>
    </row>
    <row r="101" ht="15">
      <c r="J101" s="85" t="s">
        <v>219</v>
      </c>
    </row>
    <row r="102" ht="15">
      <c r="J102" s="85" t="s">
        <v>220</v>
      </c>
    </row>
    <row r="103" ht="15">
      <c r="J103" s="85" t="s">
        <v>221</v>
      </c>
    </row>
    <row r="104" ht="15">
      <c r="J104" s="85" t="s">
        <v>222</v>
      </c>
    </row>
    <row r="105" ht="15">
      <c r="J105" s="85" t="s">
        <v>223</v>
      </c>
    </row>
    <row r="106" ht="15">
      <c r="J106" s="85" t="s">
        <v>224</v>
      </c>
    </row>
    <row r="107" ht="15">
      <c r="J107" s="85" t="s">
        <v>225</v>
      </c>
    </row>
    <row r="108" ht="15">
      <c r="J108" s="85" t="s">
        <v>226</v>
      </c>
    </row>
    <row r="109" ht="15">
      <c r="J109" s="85" t="s">
        <v>227</v>
      </c>
    </row>
    <row r="110" ht="15">
      <c r="J110" s="85" t="s">
        <v>228</v>
      </c>
    </row>
    <row r="111" ht="15">
      <c r="J111" s="85" t="s">
        <v>81</v>
      </c>
    </row>
    <row r="112" ht="15">
      <c r="J112" s="85" t="s">
        <v>229</v>
      </c>
    </row>
    <row r="113" ht="15">
      <c r="J113" s="85" t="s">
        <v>230</v>
      </c>
    </row>
    <row r="114" ht="15">
      <c r="J114" s="85" t="s">
        <v>231</v>
      </c>
    </row>
    <row r="115" ht="15">
      <c r="J115" s="85" t="s">
        <v>232</v>
      </c>
    </row>
    <row r="116" ht="15">
      <c r="J116" s="85" t="s">
        <v>233</v>
      </c>
    </row>
    <row r="117" ht="15">
      <c r="J117" s="85" t="s">
        <v>234</v>
      </c>
    </row>
    <row r="118" ht="15">
      <c r="J118" s="85" t="s">
        <v>235</v>
      </c>
    </row>
    <row r="119" ht="15">
      <c r="J119" s="85" t="s">
        <v>236</v>
      </c>
    </row>
    <row r="120" ht="15">
      <c r="J120" s="85" t="s">
        <v>237</v>
      </c>
    </row>
    <row r="121" ht="15">
      <c r="J121" s="85" t="s">
        <v>238</v>
      </c>
    </row>
    <row r="122" ht="15">
      <c r="J122" s="85" t="s">
        <v>239</v>
      </c>
    </row>
    <row r="123" ht="15">
      <c r="J123" s="85" t="s">
        <v>240</v>
      </c>
    </row>
    <row r="124" ht="15">
      <c r="J124" s="85" t="s">
        <v>241</v>
      </c>
    </row>
    <row r="125" ht="15">
      <c r="J125" s="85" t="s">
        <v>242</v>
      </c>
    </row>
    <row r="126" ht="15">
      <c r="J126" s="85" t="s">
        <v>243</v>
      </c>
    </row>
    <row r="127" ht="15">
      <c r="J127" s="85" t="s">
        <v>244</v>
      </c>
    </row>
    <row r="128" ht="15">
      <c r="J128" s="85" t="s">
        <v>245</v>
      </c>
    </row>
    <row r="129" ht="15">
      <c r="J129" s="85" t="s">
        <v>246</v>
      </c>
    </row>
    <row r="130" ht="15">
      <c r="J130" s="85" t="s">
        <v>247</v>
      </c>
    </row>
    <row r="131" ht="15">
      <c r="J131" s="85" t="s">
        <v>248</v>
      </c>
    </row>
    <row r="132" ht="15">
      <c r="J132" s="85" t="s">
        <v>249</v>
      </c>
    </row>
    <row r="133" ht="15">
      <c r="J133" s="85" t="s">
        <v>250</v>
      </c>
    </row>
    <row r="134" ht="15">
      <c r="J134" s="85" t="s">
        <v>251</v>
      </c>
    </row>
    <row r="135" ht="15">
      <c r="J135" s="85" t="s">
        <v>252</v>
      </c>
    </row>
    <row r="136" ht="15">
      <c r="J136" s="85" t="s">
        <v>253</v>
      </c>
    </row>
    <row r="137" ht="15">
      <c r="J137" s="85" t="s">
        <v>254</v>
      </c>
    </row>
    <row r="138" ht="15">
      <c r="J138" s="85" t="s">
        <v>255</v>
      </c>
    </row>
    <row r="139" ht="15">
      <c r="J139" s="85" t="s">
        <v>256</v>
      </c>
    </row>
    <row r="140" ht="15">
      <c r="J140" s="85" t="s">
        <v>257</v>
      </c>
    </row>
    <row r="141" ht="15">
      <c r="J141" s="85" t="s">
        <v>258</v>
      </c>
    </row>
    <row r="142" ht="15">
      <c r="J142" s="85" t="s">
        <v>259</v>
      </c>
    </row>
    <row r="143" ht="15">
      <c r="J143" s="85" t="s">
        <v>260</v>
      </c>
    </row>
    <row r="144" ht="15">
      <c r="J144" s="399"/>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11.xml><?xml version="1.0" encoding="utf-8"?>
<worksheet xmlns="http://schemas.openxmlformats.org/spreadsheetml/2006/main" xmlns:r="http://schemas.openxmlformats.org/officeDocument/2006/relationships">
  <dimension ref="A1:H12"/>
  <sheetViews>
    <sheetView zoomScalePageLayoutView="0" workbookViewId="0" topLeftCell="A1">
      <selection activeCell="D3" sqref="D3"/>
    </sheetView>
  </sheetViews>
  <sheetFormatPr defaultColWidth="9.140625" defaultRowHeight="15"/>
  <cols>
    <col min="1" max="1" width="13.28125" style="0" bestFit="1" customWidth="1"/>
    <col min="3" max="3" width="15.140625" style="0" bestFit="1" customWidth="1"/>
    <col min="4" max="4" width="12.421875" style="0" customWidth="1"/>
    <col min="7" max="7" width="14.57421875" style="0" customWidth="1"/>
    <col min="8" max="8" width="22.28125" style="0" customWidth="1"/>
  </cols>
  <sheetData>
    <row r="1" ht="15">
      <c r="A1" s="460"/>
    </row>
    <row r="2" ht="15">
      <c r="A2" s="460"/>
    </row>
    <row r="3" spans="1:8" ht="15">
      <c r="A3" s="460"/>
      <c r="C3" t="s">
        <v>415</v>
      </c>
      <c r="D3" s="461">
        <v>1098</v>
      </c>
      <c r="G3" s="461"/>
      <c r="H3" s="461"/>
    </row>
    <row r="4" spans="1:4" ht="15">
      <c r="A4" s="460"/>
      <c r="C4" t="s">
        <v>416</v>
      </c>
      <c r="D4" s="461">
        <v>556.62</v>
      </c>
    </row>
    <row r="5" spans="3:4" ht="15">
      <c r="C5" t="s">
        <v>417</v>
      </c>
      <c r="D5" s="461">
        <v>640.03</v>
      </c>
    </row>
    <row r="6" spans="3:4" ht="15">
      <c r="C6" t="s">
        <v>418</v>
      </c>
      <c r="D6" s="461">
        <v>57868.79</v>
      </c>
    </row>
    <row r="7" spans="3:4" ht="15">
      <c r="C7" t="s">
        <v>419</v>
      </c>
      <c r="D7" s="461">
        <v>3.38</v>
      </c>
    </row>
    <row r="8" spans="3:4" ht="15">
      <c r="C8" t="s">
        <v>420</v>
      </c>
      <c r="D8" s="461">
        <v>82659.65</v>
      </c>
    </row>
    <row r="9" spans="4:7" ht="15">
      <c r="D9" s="462">
        <f>SUM(D3:D8)</f>
        <v>142826.47</v>
      </c>
      <c r="G9" s="227"/>
    </row>
    <row r="11" ht="15">
      <c r="D11" s="227"/>
    </row>
    <row r="12" ht="15">
      <c r="D12" s="227"/>
    </row>
  </sheetData>
  <sheetProtection/>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16" sqref="N1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3" activePane="bottomLeft" state="frozen"/>
      <selection pane="topLeft" activeCell="E22" sqref="E22"/>
      <selection pane="bottomLeft" activeCell="E20" sqref="E20:I20"/>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40" t="str">
        <f>+"Dashboard: "&amp;" "&amp;+IF('Data Entry'!C4="Please Select","",'Data Entry'!C4&amp;" - ")&amp;+IF('Data Entry'!G6="Please Select","",'Data Entry'!G6)</f>
        <v>Dashboard:  Ghana - HIV / AIDS</v>
      </c>
      <c r="C2" s="540"/>
      <c r="D2" s="540"/>
      <c r="E2" s="540"/>
      <c r="F2" s="540"/>
      <c r="G2" s="540"/>
      <c r="H2" s="540"/>
      <c r="I2" s="540"/>
      <c r="J2" s="540"/>
      <c r="K2" s="540"/>
      <c r="L2" s="540"/>
      <c r="M2" s="540"/>
    </row>
    <row r="3" spans="1:13" ht="15.75" customHeight="1">
      <c r="A3" s="3"/>
      <c r="B3" s="217"/>
      <c r="C3" s="217"/>
      <c r="D3" s="217"/>
      <c r="E3" s="217"/>
      <c r="F3" s="217"/>
      <c r="G3" s="217"/>
      <c r="H3" s="217"/>
      <c r="I3" s="217"/>
      <c r="J3" s="217"/>
      <c r="K3" s="218"/>
      <c r="L3" s="218"/>
      <c r="M3" s="3"/>
    </row>
    <row r="5" spans="2:15" ht="23.25">
      <c r="B5" s="541" t="s">
        <v>282</v>
      </c>
      <c r="C5" s="541"/>
      <c r="D5" s="541"/>
      <c r="E5" s="541"/>
      <c r="F5" s="541"/>
      <c r="G5" s="541"/>
      <c r="H5" s="541"/>
      <c r="I5" s="541"/>
      <c r="J5" s="541"/>
      <c r="K5" s="541"/>
      <c r="L5" s="541"/>
      <c r="M5" s="541"/>
      <c r="N5" s="541"/>
      <c r="O5" s="541"/>
    </row>
    <row r="7" spans="2:15" ht="21">
      <c r="B7" s="532" t="s">
        <v>271</v>
      </c>
      <c r="C7" s="533"/>
      <c r="D7" s="534"/>
      <c r="E7" s="532" t="s">
        <v>272</v>
      </c>
      <c r="F7" s="533"/>
      <c r="G7" s="533"/>
      <c r="H7" s="533"/>
      <c r="I7" s="534"/>
      <c r="J7" s="532" t="s">
        <v>273</v>
      </c>
      <c r="K7" s="533"/>
      <c r="L7" s="534"/>
      <c r="M7" s="532" t="s">
        <v>345</v>
      </c>
      <c r="N7" s="533"/>
      <c r="O7" s="534"/>
    </row>
    <row r="8" spans="2:15" ht="92.25" customHeight="1">
      <c r="B8" s="535" t="str">
        <f>+'Data Entry'!B27</f>
        <v>F1: Budget and disbursements by Global Fund</v>
      </c>
      <c r="C8" s="536"/>
      <c r="D8" s="537"/>
      <c r="E8" s="542" t="s">
        <v>392</v>
      </c>
      <c r="F8" s="543"/>
      <c r="G8" s="543"/>
      <c r="H8" s="543"/>
      <c r="I8" s="544"/>
      <c r="J8" s="529" t="s">
        <v>346</v>
      </c>
      <c r="K8" s="530"/>
      <c r="L8" s="531"/>
      <c r="M8" s="529" t="s">
        <v>393</v>
      </c>
      <c r="N8" s="530"/>
      <c r="O8" s="531"/>
    </row>
    <row r="9" spans="2:15" ht="117.75" customHeight="1">
      <c r="B9" s="535" t="str">
        <f>+'Data Entry'!B36</f>
        <v>F2: Budget and actual expenditures by Grant Objective</v>
      </c>
      <c r="C9" s="536"/>
      <c r="D9" s="537"/>
      <c r="E9" s="526" t="s">
        <v>354</v>
      </c>
      <c r="F9" s="527"/>
      <c r="G9" s="527"/>
      <c r="H9" s="527"/>
      <c r="I9" s="528"/>
      <c r="J9" s="529" t="s">
        <v>348</v>
      </c>
      <c r="K9" s="530"/>
      <c r="L9" s="531"/>
      <c r="M9" s="529" t="s">
        <v>393</v>
      </c>
      <c r="N9" s="530"/>
      <c r="O9" s="531"/>
    </row>
    <row r="10" spans="2:15" ht="152.25" customHeight="1">
      <c r="B10" s="545" t="str">
        <f>+'Data Entry'!B55</f>
        <v>F3: Disbursements and expenditures</v>
      </c>
      <c r="C10" s="548"/>
      <c r="D10" s="549"/>
      <c r="E10" s="526" t="s">
        <v>394</v>
      </c>
      <c r="F10" s="527"/>
      <c r="G10" s="527"/>
      <c r="H10" s="527"/>
      <c r="I10" s="528"/>
      <c r="J10" s="529" t="s">
        <v>355</v>
      </c>
      <c r="K10" s="530"/>
      <c r="L10" s="531"/>
      <c r="M10" s="529" t="s">
        <v>347</v>
      </c>
      <c r="N10" s="530"/>
      <c r="O10" s="531"/>
    </row>
    <row r="11" spans="2:15" ht="279.75" customHeight="1">
      <c r="B11" s="545" t="str">
        <f>+'Data Entry'!B64</f>
        <v>F4: Latest PR reporting and disbursement cycle</v>
      </c>
      <c r="C11" s="546"/>
      <c r="D11" s="547"/>
      <c r="E11" s="526" t="s">
        <v>405</v>
      </c>
      <c r="F11" s="527"/>
      <c r="G11" s="527"/>
      <c r="H11" s="527"/>
      <c r="I11" s="528"/>
      <c r="J11" s="529" t="s">
        <v>356</v>
      </c>
      <c r="K11" s="530"/>
      <c r="L11" s="531"/>
      <c r="M11" s="529" t="s">
        <v>276</v>
      </c>
      <c r="N11" s="530"/>
      <c r="O11" s="531"/>
    </row>
    <row r="12" spans="2:15" s="19" customFormat="1" ht="15">
      <c r="B12" s="550"/>
      <c r="C12" s="550"/>
      <c r="D12" s="550"/>
      <c r="E12" s="551"/>
      <c r="F12" s="551"/>
      <c r="G12" s="551"/>
      <c r="H12" s="551"/>
      <c r="I12" s="551"/>
      <c r="J12" s="551"/>
      <c r="K12" s="551"/>
      <c r="L12" s="551"/>
      <c r="M12" s="551"/>
      <c r="N12" s="551"/>
      <c r="O12" s="551"/>
    </row>
    <row r="13" spans="2:15" s="19" customFormat="1" ht="15">
      <c r="B13" s="556"/>
      <c r="C13" s="556"/>
      <c r="D13" s="556"/>
      <c r="E13" s="552"/>
      <c r="F13" s="552"/>
      <c r="G13" s="552"/>
      <c r="H13" s="552"/>
      <c r="I13" s="552"/>
      <c r="J13" s="552"/>
      <c r="K13" s="552"/>
      <c r="L13" s="552"/>
      <c r="M13" s="552"/>
      <c r="N13" s="552"/>
      <c r="O13" s="552"/>
    </row>
    <row r="14" spans="2:15" s="19" customFormat="1" ht="15">
      <c r="B14" s="556"/>
      <c r="C14" s="556"/>
      <c r="D14" s="556"/>
      <c r="E14" s="552"/>
      <c r="F14" s="552"/>
      <c r="G14" s="552"/>
      <c r="H14" s="552"/>
      <c r="I14" s="552"/>
      <c r="J14" s="552"/>
      <c r="K14" s="552"/>
      <c r="L14" s="552"/>
      <c r="M14" s="552"/>
      <c r="N14" s="552"/>
      <c r="O14" s="552"/>
    </row>
    <row r="15" spans="2:15" s="19" customFormat="1" ht="15">
      <c r="B15" s="556"/>
      <c r="C15" s="556"/>
      <c r="D15" s="556"/>
      <c r="E15" s="552"/>
      <c r="F15" s="552"/>
      <c r="G15" s="552"/>
      <c r="H15" s="552"/>
      <c r="I15" s="552"/>
      <c r="J15" s="552"/>
      <c r="K15" s="552"/>
      <c r="L15" s="552"/>
      <c r="M15" s="552"/>
      <c r="N15" s="552"/>
      <c r="O15" s="552"/>
    </row>
    <row r="16" spans="2:15" ht="23.25">
      <c r="B16" s="541" t="s">
        <v>283</v>
      </c>
      <c r="C16" s="541"/>
      <c r="D16" s="541"/>
      <c r="E16" s="541"/>
      <c r="F16" s="541"/>
      <c r="G16" s="541"/>
      <c r="H16" s="541"/>
      <c r="I16" s="541"/>
      <c r="J16" s="541"/>
      <c r="K16" s="541"/>
      <c r="L16" s="541"/>
      <c r="M16" s="541"/>
      <c r="N16" s="541"/>
      <c r="O16" s="541"/>
    </row>
    <row r="18" spans="2:15" ht="21">
      <c r="B18" s="553" t="s">
        <v>271</v>
      </c>
      <c r="C18" s="554"/>
      <c r="D18" s="555"/>
      <c r="E18" s="553" t="s">
        <v>272</v>
      </c>
      <c r="F18" s="554"/>
      <c r="G18" s="554"/>
      <c r="H18" s="554"/>
      <c r="I18" s="555"/>
      <c r="J18" s="553" t="s">
        <v>273</v>
      </c>
      <c r="K18" s="554"/>
      <c r="L18" s="555"/>
      <c r="M18" s="553" t="s">
        <v>274</v>
      </c>
      <c r="N18" s="554"/>
      <c r="O18" s="555"/>
    </row>
    <row r="19" spans="2:15" ht="114" customHeight="1">
      <c r="B19" s="535" t="str">
        <f>+'Data Entry'!B75</f>
        <v>M1: Status of Conditions Precedent (CPs) and Time Bound Actions (TBAs)</v>
      </c>
      <c r="C19" s="538"/>
      <c r="D19" s="539"/>
      <c r="E19" s="526" t="s">
        <v>281</v>
      </c>
      <c r="F19" s="527"/>
      <c r="G19" s="527"/>
      <c r="H19" s="527"/>
      <c r="I19" s="528"/>
      <c r="J19" s="529" t="s">
        <v>349</v>
      </c>
      <c r="K19" s="530"/>
      <c r="L19" s="531"/>
      <c r="M19" s="529" t="s">
        <v>350</v>
      </c>
      <c r="N19" s="530"/>
      <c r="O19" s="531"/>
    </row>
    <row r="20" spans="2:15" ht="102.75" customHeight="1">
      <c r="B20" s="535" t="str">
        <f>+'Data Entry'!B82</f>
        <v>M2: Status of key PR management positions</v>
      </c>
      <c r="C20" s="538"/>
      <c r="D20" s="539"/>
      <c r="E20" s="526" t="s">
        <v>395</v>
      </c>
      <c r="F20" s="527"/>
      <c r="G20" s="527"/>
      <c r="H20" s="527"/>
      <c r="I20" s="528"/>
      <c r="J20" s="529" t="s">
        <v>278</v>
      </c>
      <c r="K20" s="530"/>
      <c r="L20" s="531"/>
      <c r="M20" s="529" t="s">
        <v>277</v>
      </c>
      <c r="N20" s="530"/>
      <c r="O20" s="531"/>
    </row>
    <row r="21" spans="2:15" ht="111.75" customHeight="1">
      <c r="B21" s="535" t="str">
        <f>+'Data Entry'!B87</f>
        <v>M3: Contractual arrangements (SRs) </v>
      </c>
      <c r="C21" s="538"/>
      <c r="D21" s="539"/>
      <c r="E21" s="602" t="s">
        <v>0</v>
      </c>
      <c r="F21" s="527"/>
      <c r="G21" s="527"/>
      <c r="H21" s="527"/>
      <c r="I21" s="528"/>
      <c r="J21" s="529" t="s">
        <v>351</v>
      </c>
      <c r="K21" s="530"/>
      <c r="L21" s="531"/>
      <c r="M21" s="529" t="s">
        <v>352</v>
      </c>
      <c r="N21" s="530"/>
      <c r="O21" s="531"/>
    </row>
    <row r="22" spans="2:15" ht="74.25" customHeight="1">
      <c r="B22" s="535" t="str">
        <f>+'Data Entry'!B92</f>
        <v>M4: Number of complete reports received on time</v>
      </c>
      <c r="C22" s="538"/>
      <c r="D22" s="539"/>
      <c r="E22" s="602" t="s">
        <v>406</v>
      </c>
      <c r="F22" s="609"/>
      <c r="G22" s="609"/>
      <c r="H22" s="609"/>
      <c r="I22" s="610"/>
      <c r="J22" s="529" t="s">
        <v>357</v>
      </c>
      <c r="K22" s="530"/>
      <c r="L22" s="531"/>
      <c r="M22" s="529" t="s">
        <v>279</v>
      </c>
      <c r="N22" s="530"/>
      <c r="O22" s="531"/>
    </row>
    <row r="23" spans="2:15" ht="207.75" customHeight="1">
      <c r="B23" s="603" t="str">
        <f>+'Data Entry'!B98</f>
        <v>M5: Budget and Procurement of health products, health equipment, medicines and pharmaceuticals</v>
      </c>
      <c r="C23" s="604"/>
      <c r="D23" s="605"/>
      <c r="E23" s="590" t="s">
        <v>358</v>
      </c>
      <c r="F23" s="591"/>
      <c r="G23" s="591"/>
      <c r="H23" s="591"/>
      <c r="I23" s="592"/>
      <c r="J23" s="581" t="s">
        <v>275</v>
      </c>
      <c r="K23" s="582"/>
      <c r="L23" s="583"/>
      <c r="M23" s="581" t="s">
        <v>280</v>
      </c>
      <c r="N23" s="582"/>
      <c r="O23" s="583"/>
    </row>
    <row r="24" spans="2:15" ht="114.75" customHeight="1">
      <c r="B24" s="606"/>
      <c r="C24" s="607"/>
      <c r="D24" s="608"/>
      <c r="E24" s="593" t="s">
        <v>353</v>
      </c>
      <c r="F24" s="594"/>
      <c r="G24" s="594"/>
      <c r="H24" s="594"/>
      <c r="I24" s="595"/>
      <c r="J24" s="584"/>
      <c r="K24" s="585"/>
      <c r="L24" s="586"/>
      <c r="M24" s="584"/>
      <c r="N24" s="585"/>
      <c r="O24" s="586"/>
    </row>
    <row r="25" spans="2:15" ht="409.5" customHeight="1">
      <c r="B25" s="535" t="str">
        <f>+'Data Entry'!B111</f>
        <v>M6: Difference between current and safety stock</v>
      </c>
      <c r="C25" s="538"/>
      <c r="D25" s="539"/>
      <c r="E25" s="599" t="s">
        <v>407</v>
      </c>
      <c r="F25" s="600"/>
      <c r="G25" s="600"/>
      <c r="H25" s="600"/>
      <c r="I25" s="601"/>
      <c r="J25" s="578" t="s">
        <v>359</v>
      </c>
      <c r="K25" s="579"/>
      <c r="L25" s="580"/>
      <c r="M25" s="575" t="s">
        <v>364</v>
      </c>
      <c r="N25" s="576"/>
      <c r="O25" s="577"/>
    </row>
    <row r="29" ht="18.75">
      <c r="B29" s="251"/>
    </row>
    <row r="30" spans="2:15" ht="23.25">
      <c r="B30" s="541" t="s">
        <v>295</v>
      </c>
      <c r="C30" s="541"/>
      <c r="D30" s="541"/>
      <c r="E30" s="541"/>
      <c r="F30" s="541"/>
      <c r="G30" s="541"/>
      <c r="H30" s="541"/>
      <c r="I30" s="541"/>
      <c r="J30" s="541"/>
      <c r="K30" s="541"/>
      <c r="L30" s="541"/>
      <c r="M30" s="541"/>
      <c r="N30" s="541"/>
      <c r="O30" s="541"/>
    </row>
    <row r="32" spans="1:15" ht="28.5" customHeight="1">
      <c r="A32" s="242"/>
      <c r="B32" s="560" t="s">
        <v>343</v>
      </c>
      <c r="C32" s="561"/>
      <c r="D32" s="562"/>
      <c r="E32" s="563" t="s">
        <v>301</v>
      </c>
      <c r="F32" s="564"/>
      <c r="G32" s="564"/>
      <c r="H32" s="564"/>
      <c r="I32" s="565"/>
      <c r="J32" s="563" t="s">
        <v>273</v>
      </c>
      <c r="K32" s="564"/>
      <c r="L32" s="565"/>
      <c r="M32" s="563" t="s">
        <v>274</v>
      </c>
      <c r="N32" s="564"/>
      <c r="O32" s="565"/>
    </row>
    <row r="33" spans="1:15" ht="47.25" customHeight="1">
      <c r="A33" s="243"/>
      <c r="B33" s="611"/>
      <c r="C33" s="612"/>
      <c r="D33" s="613"/>
      <c r="E33" s="596"/>
      <c r="F33" s="597"/>
      <c r="G33" s="597"/>
      <c r="H33" s="597"/>
      <c r="I33" s="598"/>
      <c r="J33" s="587"/>
      <c r="K33" s="588"/>
      <c r="L33" s="589"/>
      <c r="M33" s="587"/>
      <c r="N33" s="588"/>
      <c r="O33" s="589"/>
    </row>
    <row r="34" spans="1:15" ht="59.25" customHeight="1">
      <c r="A34" s="243"/>
      <c r="B34" s="611"/>
      <c r="C34" s="612"/>
      <c r="D34" s="613"/>
      <c r="E34" s="596"/>
      <c r="F34" s="597"/>
      <c r="G34" s="597"/>
      <c r="H34" s="597"/>
      <c r="I34" s="598"/>
      <c r="J34" s="587"/>
      <c r="K34" s="588"/>
      <c r="L34" s="589"/>
      <c r="M34" s="587"/>
      <c r="N34" s="588"/>
      <c r="O34" s="589"/>
    </row>
    <row r="35" spans="1:15" ht="57.75" customHeight="1">
      <c r="A35" s="243"/>
      <c r="B35" s="611"/>
      <c r="C35" s="612"/>
      <c r="D35" s="613"/>
      <c r="E35" s="587"/>
      <c r="F35" s="588"/>
      <c r="G35" s="588"/>
      <c r="H35" s="588"/>
      <c r="I35" s="589"/>
      <c r="J35" s="587"/>
      <c r="K35" s="588"/>
      <c r="L35" s="589"/>
      <c r="M35" s="587"/>
      <c r="N35" s="588"/>
      <c r="O35" s="589"/>
    </row>
    <row r="36" spans="1:15" ht="9.75" customHeight="1">
      <c r="A36" s="243"/>
      <c r="B36" s="614"/>
      <c r="C36" s="615"/>
      <c r="D36" s="616"/>
      <c r="E36" s="244"/>
      <c r="F36" s="245"/>
      <c r="G36" s="245"/>
      <c r="H36" s="245"/>
      <c r="I36" s="246"/>
      <c r="J36" s="261"/>
      <c r="K36" s="262"/>
      <c r="L36" s="263"/>
      <c r="M36" s="261"/>
      <c r="N36" s="262"/>
      <c r="O36" s="263"/>
    </row>
    <row r="37" spans="1:15" ht="46.5" customHeight="1">
      <c r="A37" s="243"/>
      <c r="B37" s="611"/>
      <c r="C37" s="612"/>
      <c r="D37" s="613"/>
      <c r="E37" s="587"/>
      <c r="F37" s="617"/>
      <c r="G37" s="617"/>
      <c r="H37" s="617"/>
      <c r="I37" s="618"/>
      <c r="J37" s="257"/>
      <c r="K37" s="258"/>
      <c r="L37" s="259"/>
      <c r="M37" s="257"/>
      <c r="N37" s="258"/>
      <c r="O37" s="259"/>
    </row>
    <row r="38" spans="1:15" ht="69" customHeight="1">
      <c r="A38" s="243"/>
      <c r="B38" s="611"/>
      <c r="C38" s="612"/>
      <c r="D38" s="613"/>
      <c r="E38" s="596"/>
      <c r="F38" s="597"/>
      <c r="G38" s="597"/>
      <c r="H38" s="597"/>
      <c r="I38" s="598"/>
      <c r="J38" s="587"/>
      <c r="K38" s="588"/>
      <c r="L38" s="589"/>
      <c r="M38" s="587"/>
      <c r="N38" s="588"/>
      <c r="O38" s="589"/>
    </row>
    <row r="39" spans="1:15" ht="64.5" customHeight="1">
      <c r="A39" s="243"/>
      <c r="B39" s="611"/>
      <c r="C39" s="612"/>
      <c r="D39" s="613"/>
      <c r="E39" s="587"/>
      <c r="F39" s="588"/>
      <c r="G39" s="588"/>
      <c r="H39" s="588"/>
      <c r="I39" s="589"/>
      <c r="J39" s="257"/>
      <c r="K39" s="258"/>
      <c r="L39" s="259"/>
      <c r="M39" s="257"/>
      <c r="N39" s="258"/>
      <c r="O39" s="259"/>
    </row>
    <row r="40" spans="1:15" ht="45" customHeight="1">
      <c r="A40" s="243"/>
      <c r="B40" s="625"/>
      <c r="C40" s="626"/>
      <c r="D40" s="627"/>
      <c r="E40" s="622"/>
      <c r="F40" s="623"/>
      <c r="G40" s="623"/>
      <c r="H40" s="623"/>
      <c r="I40" s="624"/>
      <c r="J40" s="587"/>
      <c r="K40" s="588"/>
      <c r="L40" s="589"/>
      <c r="M40" s="587"/>
      <c r="N40" s="588"/>
      <c r="O40" s="589"/>
    </row>
    <row r="41" spans="1:15" ht="62.25" customHeight="1">
      <c r="A41" s="243"/>
      <c r="B41" s="619"/>
      <c r="C41" s="620"/>
      <c r="D41" s="621"/>
      <c r="E41" s="596"/>
      <c r="F41" s="597"/>
      <c r="G41" s="597"/>
      <c r="H41" s="597"/>
      <c r="I41" s="598"/>
      <c r="J41" s="587"/>
      <c r="K41" s="588"/>
      <c r="L41" s="589"/>
      <c r="M41" s="587"/>
      <c r="N41" s="588"/>
      <c r="O41" s="589"/>
    </row>
    <row r="42" spans="1:15" ht="84" customHeight="1">
      <c r="A42" s="243"/>
      <c r="B42" s="619"/>
      <c r="C42" s="620"/>
      <c r="D42" s="621"/>
      <c r="E42" s="587"/>
      <c r="F42" s="588"/>
      <c r="G42" s="588"/>
      <c r="H42" s="588"/>
      <c r="I42" s="589"/>
      <c r="J42" s="257"/>
      <c r="K42" s="258"/>
      <c r="L42" s="259"/>
      <c r="M42" s="257"/>
      <c r="N42" s="258"/>
      <c r="O42" s="259"/>
    </row>
    <row r="43" spans="1:15" ht="45" customHeight="1">
      <c r="A43" s="243"/>
      <c r="B43" s="619"/>
      <c r="C43" s="620"/>
      <c r="D43" s="621"/>
      <c r="E43" s="596"/>
      <c r="F43" s="597"/>
      <c r="G43" s="597"/>
      <c r="H43" s="597"/>
      <c r="I43" s="598"/>
      <c r="J43" s="587"/>
      <c r="K43" s="588"/>
      <c r="L43" s="589"/>
      <c r="M43" s="257"/>
      <c r="N43" s="258"/>
      <c r="O43" s="259"/>
    </row>
    <row r="44" spans="1:15" ht="64.5" customHeight="1">
      <c r="A44" s="243"/>
      <c r="B44" s="625"/>
      <c r="C44" s="626"/>
      <c r="D44" s="627"/>
      <c r="E44" s="596"/>
      <c r="F44" s="597"/>
      <c r="G44" s="597"/>
      <c r="H44" s="597"/>
      <c r="I44" s="598"/>
      <c r="J44" s="587"/>
      <c r="K44" s="588"/>
      <c r="L44" s="589"/>
      <c r="M44" s="257"/>
      <c r="N44" s="258"/>
      <c r="O44" s="259"/>
    </row>
    <row r="45" spans="2:15" ht="49.5" customHeight="1">
      <c r="B45" s="625"/>
      <c r="C45" s="626"/>
      <c r="D45" s="627"/>
      <c r="E45" s="596"/>
      <c r="F45" s="597"/>
      <c r="G45" s="597"/>
      <c r="H45" s="597"/>
      <c r="I45" s="598"/>
      <c r="J45" s="587"/>
      <c r="K45" s="588"/>
      <c r="L45" s="589"/>
      <c r="M45" s="257"/>
      <c r="N45" s="258"/>
      <c r="O45" s="259"/>
    </row>
    <row r="46" spans="2:15" ht="30" customHeight="1">
      <c r="B46" s="628"/>
      <c r="C46" s="629"/>
      <c r="D46" s="630"/>
      <c r="E46" s="247"/>
      <c r="F46" s="248"/>
      <c r="G46" s="248"/>
      <c r="H46" s="248"/>
      <c r="I46" s="249"/>
      <c r="J46" s="257"/>
      <c r="K46" s="258"/>
      <c r="L46" s="259"/>
      <c r="M46" s="257"/>
      <c r="N46" s="258"/>
      <c r="O46" s="259"/>
    </row>
    <row r="47" spans="2:15" ht="44.25" customHeight="1">
      <c r="B47" s="569" t="s">
        <v>296</v>
      </c>
      <c r="C47" s="570"/>
      <c r="D47" s="571"/>
      <c r="E47" s="572" t="s">
        <v>272</v>
      </c>
      <c r="F47" s="573"/>
      <c r="G47" s="573"/>
      <c r="H47" s="573"/>
      <c r="I47" s="574"/>
      <c r="J47" s="572" t="s">
        <v>273</v>
      </c>
      <c r="K47" s="573"/>
      <c r="L47" s="574"/>
      <c r="M47" s="572" t="s">
        <v>274</v>
      </c>
      <c r="N47" s="573"/>
      <c r="O47" s="574"/>
    </row>
    <row r="48" spans="2:15" ht="33.75" customHeight="1">
      <c r="B48" s="238"/>
      <c r="C48" s="239"/>
      <c r="D48" s="239"/>
      <c r="E48" s="232"/>
      <c r="F48" s="234"/>
      <c r="G48" s="234"/>
      <c r="H48" s="234"/>
      <c r="I48" s="234"/>
      <c r="J48" s="232"/>
      <c r="K48" s="232"/>
      <c r="L48" s="233"/>
      <c r="M48" s="231"/>
      <c r="N48" s="232"/>
      <c r="O48" s="233"/>
    </row>
    <row r="49" spans="2:15" ht="15.75" customHeight="1">
      <c r="B49" s="566" t="s">
        <v>293</v>
      </c>
      <c r="C49" s="567"/>
      <c r="D49" s="567"/>
      <c r="E49" s="567"/>
      <c r="F49" s="567"/>
      <c r="G49" s="567"/>
      <c r="H49" s="567"/>
      <c r="I49" s="567"/>
      <c r="J49" s="567"/>
      <c r="K49" s="567"/>
      <c r="L49" s="568"/>
      <c r="M49" s="557" t="s">
        <v>284</v>
      </c>
      <c r="N49" s="558"/>
      <c r="O49" s="559"/>
    </row>
    <row r="50" ht="15">
      <c r="D50" s="219"/>
    </row>
    <row r="52" ht="15">
      <c r="D52" s="219"/>
    </row>
    <row r="53" ht="15">
      <c r="D53" s="219"/>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R160"/>
  <sheetViews>
    <sheetView showGridLines="0" tabSelected="1" zoomScale="80" zoomScaleNormal="80" zoomScalePageLayoutView="0" workbookViewId="0" topLeftCell="B125">
      <pane xSplit="3" topLeftCell="E1" activePane="topRight" state="frozen"/>
      <selection pane="topLeft" activeCell="B110" sqref="B110"/>
      <selection pane="topRight" activeCell="B138" sqref="B138:D139"/>
    </sheetView>
  </sheetViews>
  <sheetFormatPr defaultColWidth="9.140625" defaultRowHeight="15"/>
  <cols>
    <col min="1" max="1" width="2.7109375" style="0" customWidth="1"/>
    <col min="2" max="2" width="68.00390625" style="0" customWidth="1"/>
    <col min="3" max="3" width="23.00390625" style="0" customWidth="1"/>
    <col min="4" max="4" width="19.140625" style="0" customWidth="1"/>
    <col min="5" max="5" width="17.8515625" style="0" customWidth="1"/>
    <col min="6" max="6" width="17.421875" style="0" customWidth="1"/>
    <col min="7" max="7" width="18.57421875" style="0" customWidth="1"/>
    <col min="8" max="8" width="17.57421875" style="0" customWidth="1"/>
    <col min="9" max="9" width="20.140625" style="0" customWidth="1"/>
    <col min="10" max="10" width="16.8515625" style="0" customWidth="1"/>
    <col min="11" max="11" width="16.00390625" style="0" customWidth="1"/>
    <col min="12" max="12" width="18.00390625" style="0" customWidth="1"/>
    <col min="13" max="13" width="19.28125" style="0" customWidth="1"/>
    <col min="14" max="16" width="20.57421875" style="36" customWidth="1"/>
    <col min="17" max="17" width="15.57421875" style="36" customWidth="1"/>
    <col min="18" max="18" width="2.28125" style="36" customWidth="1"/>
    <col min="19" max="19" width="40.7109375" style="0" customWidth="1"/>
    <col min="20" max="20" width="15.421875" style="0" customWidth="1"/>
  </cols>
  <sheetData>
    <row r="1" spans="1:13" ht="29.25" customHeight="1">
      <c r="A1" s="3"/>
      <c r="B1" s="3"/>
      <c r="C1" s="3"/>
      <c r="D1" s="3"/>
      <c r="E1" s="3"/>
      <c r="F1" s="3"/>
      <c r="G1" s="3"/>
      <c r="H1" s="3"/>
      <c r="I1" s="3"/>
      <c r="J1" s="3"/>
      <c r="K1" s="3"/>
      <c r="L1" s="3"/>
      <c r="M1" s="3"/>
    </row>
    <row r="2" spans="1:13" ht="15.75" customHeight="1">
      <c r="A2" s="3"/>
      <c r="B2" s="681" t="s">
        <v>372</v>
      </c>
      <c r="C2" s="681"/>
      <c r="D2" s="681"/>
      <c r="E2" s="681"/>
      <c r="F2" s="681"/>
      <c r="G2" s="681"/>
      <c r="H2" s="681"/>
      <c r="I2" s="681"/>
      <c r="J2" s="681"/>
      <c r="K2" s="277"/>
      <c r="L2" s="277"/>
      <c r="M2" s="277"/>
    </row>
    <row r="3" spans="1:13" ht="4.5" customHeight="1">
      <c r="A3" s="3"/>
      <c r="B3" s="3"/>
      <c r="C3" s="3"/>
      <c r="D3" s="3"/>
      <c r="E3" s="3"/>
      <c r="F3" s="3"/>
      <c r="G3" s="3"/>
      <c r="H3" s="3"/>
      <c r="I3" s="3"/>
      <c r="J3" s="3"/>
      <c r="K3" s="3"/>
      <c r="L3" s="3"/>
      <c r="M3" s="3"/>
    </row>
    <row r="4" spans="1:13" ht="15">
      <c r="A4" s="3"/>
      <c r="B4" s="275" t="s">
        <v>26</v>
      </c>
      <c r="C4" s="716" t="s">
        <v>176</v>
      </c>
      <c r="D4" s="718"/>
      <c r="E4" s="724" t="s">
        <v>12</v>
      </c>
      <c r="F4" s="724"/>
      <c r="G4" s="725" t="s">
        <v>425</v>
      </c>
      <c r="H4" s="717"/>
      <c r="I4" s="717"/>
      <c r="J4" s="718"/>
      <c r="K4" s="3"/>
      <c r="L4" s="3"/>
      <c r="M4" s="3"/>
    </row>
    <row r="5" spans="1:13" ht="3" customHeight="1">
      <c r="A5" s="3"/>
      <c r="B5" s="275"/>
      <c r="C5" s="3"/>
      <c r="D5" s="3"/>
      <c r="E5" s="278"/>
      <c r="F5" s="278"/>
      <c r="G5" s="3"/>
      <c r="H5" s="3"/>
      <c r="I5" s="3"/>
      <c r="J5" s="3"/>
      <c r="K5" s="3"/>
      <c r="L5" s="3"/>
      <c r="M5" s="3"/>
    </row>
    <row r="6" spans="1:13" ht="15">
      <c r="A6" s="3"/>
      <c r="B6" s="275" t="s">
        <v>116</v>
      </c>
      <c r="C6" s="716" t="s">
        <v>423</v>
      </c>
      <c r="D6" s="718"/>
      <c r="E6" s="724" t="s">
        <v>27</v>
      </c>
      <c r="F6" s="724"/>
      <c r="G6" s="306" t="s">
        <v>28</v>
      </c>
      <c r="H6" s="275" t="s">
        <v>319</v>
      </c>
      <c r="I6" s="713">
        <v>12905454</v>
      </c>
      <c r="J6" s="714"/>
      <c r="K6" s="3"/>
      <c r="L6" s="3"/>
      <c r="M6" s="3"/>
    </row>
    <row r="7" spans="1:13" ht="3" customHeight="1">
      <c r="A7" s="3"/>
      <c r="B7" s="275"/>
      <c r="C7" s="3"/>
      <c r="D7" s="3"/>
      <c r="E7" s="278"/>
      <c r="F7" s="278"/>
      <c r="G7" s="3"/>
      <c r="H7" s="275"/>
      <c r="I7" s="3"/>
      <c r="J7" s="3"/>
      <c r="K7" s="3"/>
      <c r="L7" s="3"/>
      <c r="M7" s="3"/>
    </row>
    <row r="8" spans="1:13" ht="15">
      <c r="A8" s="3"/>
      <c r="B8" s="275" t="s">
        <v>267</v>
      </c>
      <c r="C8" s="716" t="s">
        <v>412</v>
      </c>
      <c r="D8" s="718"/>
      <c r="E8" s="279"/>
      <c r="F8" s="274" t="s">
        <v>321</v>
      </c>
      <c r="G8" s="387" t="s">
        <v>371</v>
      </c>
      <c r="H8" s="274" t="s">
        <v>320</v>
      </c>
      <c r="I8" s="716" t="s">
        <v>424</v>
      </c>
      <c r="J8" s="718"/>
      <c r="K8" s="3"/>
      <c r="L8" s="3"/>
      <c r="M8" s="3"/>
    </row>
    <row r="9" spans="1:13" ht="3" customHeight="1">
      <c r="A9" s="3"/>
      <c r="B9" s="278"/>
      <c r="C9" s="3"/>
      <c r="D9" s="3"/>
      <c r="E9" s="278"/>
      <c r="F9" s="278"/>
      <c r="G9" s="3"/>
      <c r="H9" s="3"/>
      <c r="I9" s="3"/>
      <c r="J9" s="3"/>
      <c r="K9" s="3"/>
      <c r="L9" s="3"/>
      <c r="M9" s="3"/>
    </row>
    <row r="10" spans="1:13" ht="15">
      <c r="A10" s="3"/>
      <c r="B10" s="275" t="s">
        <v>401</v>
      </c>
      <c r="C10" s="722">
        <v>42186</v>
      </c>
      <c r="D10" s="723"/>
      <c r="E10" s="721" t="s">
        <v>31</v>
      </c>
      <c r="F10" s="720"/>
      <c r="G10" s="716" t="s">
        <v>57</v>
      </c>
      <c r="H10" s="717"/>
      <c r="I10" s="717"/>
      <c r="J10" s="718"/>
      <c r="K10" s="3"/>
      <c r="L10" s="3"/>
      <c r="M10" s="3"/>
    </row>
    <row r="11" spans="1:13" ht="5.25" customHeight="1">
      <c r="A11" s="3"/>
      <c r="B11" s="3"/>
      <c r="C11" s="3"/>
      <c r="D11" s="3"/>
      <c r="E11" s="3"/>
      <c r="F11" s="3"/>
      <c r="G11" s="3"/>
      <c r="H11" s="3"/>
      <c r="I11" s="3"/>
      <c r="J11" s="3"/>
      <c r="K11" s="3"/>
      <c r="L11" s="3"/>
      <c r="M11" s="3"/>
    </row>
    <row r="12" spans="1:13" ht="15" customHeight="1">
      <c r="A12" s="3"/>
      <c r="B12" s="275" t="s">
        <v>29</v>
      </c>
      <c r="C12" s="689" t="s">
        <v>44</v>
      </c>
      <c r="D12" s="689"/>
      <c r="E12" s="721" t="s">
        <v>287</v>
      </c>
      <c r="F12" s="724"/>
      <c r="G12" s="715" t="s">
        <v>422</v>
      </c>
      <c r="H12" s="715"/>
      <c r="I12" s="715"/>
      <c r="J12" s="715"/>
      <c r="K12" s="3"/>
      <c r="L12" s="3"/>
      <c r="M12" s="3"/>
    </row>
    <row r="13" spans="1:13" ht="5.25" customHeight="1">
      <c r="A13" s="3"/>
      <c r="B13" s="3"/>
      <c r="C13" s="3"/>
      <c r="D13" s="3"/>
      <c r="E13" s="3"/>
      <c r="F13" s="3"/>
      <c r="G13" s="3"/>
      <c r="H13" s="3"/>
      <c r="I13" s="3"/>
      <c r="J13" s="3"/>
      <c r="K13" s="3"/>
      <c r="L13" s="3"/>
      <c r="M13" s="3"/>
    </row>
    <row r="14" spans="1:13" ht="15.75" customHeight="1">
      <c r="A14" s="3"/>
      <c r="B14" s="681" t="s">
        <v>2</v>
      </c>
      <c r="C14" s="681"/>
      <c r="D14" s="681"/>
      <c r="E14" s="681"/>
      <c r="F14" s="681"/>
      <c r="G14" s="681"/>
      <c r="H14" s="681"/>
      <c r="I14" s="681"/>
      <c r="J14" s="681"/>
      <c r="K14" s="3"/>
      <c r="L14" s="3"/>
      <c r="M14" s="3"/>
    </row>
    <row r="15" spans="1:13" ht="3" customHeight="1">
      <c r="A15" s="3"/>
      <c r="B15" s="3"/>
      <c r="C15" s="3"/>
      <c r="D15" s="3"/>
      <c r="E15" s="3"/>
      <c r="F15" s="3"/>
      <c r="G15" s="3"/>
      <c r="H15" s="3"/>
      <c r="I15" s="3"/>
      <c r="J15" s="3"/>
      <c r="K15" s="3"/>
      <c r="L15" s="3"/>
      <c r="M15" s="3"/>
    </row>
    <row r="16" spans="1:13" ht="15">
      <c r="A16" s="3"/>
      <c r="B16" s="275" t="s">
        <v>21</v>
      </c>
      <c r="C16" s="387" t="s">
        <v>427</v>
      </c>
      <c r="D16" s="274" t="s">
        <v>322</v>
      </c>
      <c r="E16" s="280">
        <v>42278</v>
      </c>
      <c r="F16" s="276" t="s">
        <v>8</v>
      </c>
      <c r="G16" s="280">
        <v>42369</v>
      </c>
      <c r="H16" s="721" t="s">
        <v>323</v>
      </c>
      <c r="I16" s="720"/>
      <c r="J16" s="280">
        <v>42050</v>
      </c>
      <c r="K16" s="3"/>
      <c r="L16" s="3"/>
      <c r="M16" s="3"/>
    </row>
    <row r="17" spans="1:13" ht="3" customHeight="1">
      <c r="A17" s="3"/>
      <c r="B17" s="3"/>
      <c r="C17" s="3"/>
      <c r="D17" s="3"/>
      <c r="E17" s="3"/>
      <c r="F17" s="3"/>
      <c r="G17" s="3"/>
      <c r="H17" s="3"/>
      <c r="I17" s="3"/>
      <c r="J17" s="3"/>
      <c r="K17" s="3"/>
      <c r="L17" s="3"/>
      <c r="M17" s="3"/>
    </row>
    <row r="18" spans="1:13" ht="15">
      <c r="A18" s="3"/>
      <c r="B18" s="719" t="s">
        <v>32</v>
      </c>
      <c r="C18" s="720"/>
      <c r="D18" s="690" t="s">
        <v>414</v>
      </c>
      <c r="E18" s="690"/>
      <c r="F18" s="690"/>
      <c r="G18" s="281"/>
      <c r="H18" s="281"/>
      <c r="I18" s="281"/>
      <c r="J18" s="281"/>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81" t="s">
        <v>360</v>
      </c>
      <c r="C21" s="681"/>
      <c r="D21" s="681"/>
      <c r="E21" s="681"/>
      <c r="F21" s="681"/>
      <c r="G21" s="681"/>
      <c r="H21" s="681"/>
      <c r="I21" s="681"/>
      <c r="J21" s="681"/>
      <c r="K21" s="3"/>
      <c r="L21" s="3"/>
      <c r="M21" s="3"/>
    </row>
    <row r="22" spans="1:13" ht="15">
      <c r="A22" s="3"/>
      <c r="B22" s="278" t="s">
        <v>3</v>
      </c>
      <c r="C22" s="3"/>
      <c r="D22" s="3"/>
      <c r="E22" s="282"/>
      <c r="F22" s="282"/>
      <c r="G22" s="3"/>
      <c r="H22" s="3"/>
      <c r="I22" s="282"/>
      <c r="J22" s="282"/>
      <c r="K22" s="3"/>
      <c r="L22" s="3"/>
      <c r="M22" s="3"/>
    </row>
    <row r="23" spans="1:13" ht="3" customHeight="1">
      <c r="A23" s="3"/>
      <c r="B23" s="3"/>
      <c r="C23" s="3"/>
      <c r="D23" s="3"/>
      <c r="E23" s="3"/>
      <c r="F23" s="3"/>
      <c r="G23" s="3"/>
      <c r="H23" s="3"/>
      <c r="I23" s="3"/>
      <c r="J23" s="3"/>
      <c r="K23" s="3"/>
      <c r="L23" s="3"/>
      <c r="M23" s="3"/>
    </row>
    <row r="24" spans="1:16" ht="15.75" thickBot="1">
      <c r="A24" s="3"/>
      <c r="B24" s="275" t="s">
        <v>397</v>
      </c>
      <c r="C24" s="379"/>
      <c r="D24" s="724" t="s">
        <v>398</v>
      </c>
      <c r="E24" s="724"/>
      <c r="F24" s="380"/>
      <c r="G24" s="724" t="s">
        <v>399</v>
      </c>
      <c r="H24" s="724"/>
      <c r="I24" s="706"/>
      <c r="J24" s="707"/>
      <c r="K24" s="3"/>
      <c r="L24" s="3"/>
      <c r="M24" s="3"/>
      <c r="N24" s="20"/>
      <c r="O24" s="20"/>
      <c r="P24" s="20"/>
    </row>
    <row r="25" spans="1:17" ht="19.5" thickBot="1">
      <c r="A25" s="3"/>
      <c r="B25" s="86" t="s">
        <v>397</v>
      </c>
      <c r="C25" s="87"/>
      <c r="D25" s="87"/>
      <c r="E25" s="87"/>
      <c r="F25" s="87"/>
      <c r="G25" s="87"/>
      <c r="H25" s="264"/>
      <c r="I25" s="88"/>
      <c r="J25" s="88"/>
      <c r="K25" s="264" t="s">
        <v>324</v>
      </c>
      <c r="L25" s="87"/>
      <c r="M25" s="87"/>
      <c r="N25" s="395"/>
      <c r="O25" s="463"/>
      <c r="P25" s="463"/>
      <c r="Q25" s="40"/>
    </row>
    <row r="26" spans="1:17" ht="15">
      <c r="A26" s="3"/>
      <c r="B26" s="695" t="s">
        <v>368</v>
      </c>
      <c r="C26" s="696"/>
      <c r="D26" s="407" t="s">
        <v>19</v>
      </c>
      <c r="E26" s="90"/>
      <c r="F26" s="90"/>
      <c r="G26" s="90"/>
      <c r="H26" s="90"/>
      <c r="I26" s="90"/>
      <c r="J26" s="91"/>
      <c r="K26" s="90"/>
      <c r="L26" s="90"/>
      <c r="M26" s="90"/>
      <c r="N26" s="40"/>
      <c r="O26" s="40"/>
      <c r="P26" s="40"/>
      <c r="Q26" s="40"/>
    </row>
    <row r="27" spans="1:17" ht="18.75">
      <c r="A27" s="3"/>
      <c r="B27" s="89" t="s">
        <v>378</v>
      </c>
      <c r="C27" s="90"/>
      <c r="D27" s="90"/>
      <c r="E27" s="90"/>
      <c r="F27" s="90"/>
      <c r="G27" s="90"/>
      <c r="H27" s="90"/>
      <c r="I27" s="90"/>
      <c r="J27" s="91"/>
      <c r="K27" s="90"/>
      <c r="L27" s="90"/>
      <c r="M27" s="90"/>
      <c r="N27" s="40"/>
      <c r="O27" s="40"/>
      <c r="P27" s="40"/>
      <c r="Q27" s="40"/>
    </row>
    <row r="28" spans="1:16" ht="15">
      <c r="A28" s="3"/>
      <c r="B28" s="3"/>
      <c r="C28" s="466" t="s">
        <v>439</v>
      </c>
      <c r="D28" s="466" t="s">
        <v>438</v>
      </c>
      <c r="E28" s="466" t="s">
        <v>437</v>
      </c>
      <c r="F28" s="466" t="s">
        <v>436</v>
      </c>
      <c r="G28" s="466" t="s">
        <v>440</v>
      </c>
      <c r="H28" s="466" t="s">
        <v>441</v>
      </c>
      <c r="I28" s="466" t="s">
        <v>442</v>
      </c>
      <c r="J28" s="466" t="s">
        <v>443</v>
      </c>
      <c r="K28" s="466" t="s">
        <v>444</v>
      </c>
      <c r="L28" s="466" t="s">
        <v>445</v>
      </c>
      <c r="M28" s="3"/>
      <c r="O28"/>
      <c r="P28"/>
    </row>
    <row r="29" spans="1:16" ht="15.75" thickBot="1">
      <c r="A29" s="3"/>
      <c r="B29" s="711" t="s">
        <v>60</v>
      </c>
      <c r="C29" s="712"/>
      <c r="D29" s="712"/>
      <c r="E29" s="712"/>
      <c r="F29" s="712"/>
      <c r="G29" s="712"/>
      <c r="H29" s="712"/>
      <c r="I29" s="712"/>
      <c r="J29" s="712"/>
      <c r="K29" s="712"/>
      <c r="L29" s="712"/>
      <c r="M29" s="712"/>
      <c r="N29" s="712"/>
      <c r="O29" s="712"/>
      <c r="P29" s="712"/>
    </row>
    <row r="30" spans="1:15" ht="15">
      <c r="A30" s="3"/>
      <c r="B30" s="92" t="s">
        <v>266</v>
      </c>
      <c r="C30" s="361" t="s">
        <v>426</v>
      </c>
      <c r="D30" s="361" t="s">
        <v>427</v>
      </c>
      <c r="E30" s="361" t="s">
        <v>428</v>
      </c>
      <c r="F30" s="361" t="s">
        <v>429</v>
      </c>
      <c r="G30" s="361" t="s">
        <v>430</v>
      </c>
      <c r="H30" s="361" t="s">
        <v>431</v>
      </c>
      <c r="I30" s="361" t="s">
        <v>432</v>
      </c>
      <c r="J30" s="361" t="s">
        <v>433</v>
      </c>
      <c r="K30" s="361" t="s">
        <v>434</v>
      </c>
      <c r="L30" s="361" t="s">
        <v>435</v>
      </c>
      <c r="M30" s="362" t="s">
        <v>4</v>
      </c>
      <c r="O30" s="3"/>
    </row>
    <row r="31" spans="1:15" ht="15">
      <c r="A31" s="3"/>
      <c r="B31" s="272" t="str">
        <f>CONCATENATE("Budget (in ",'Data Entry'!$D$26,")")</f>
        <v>Budget (in $)</v>
      </c>
      <c r="C31" s="371">
        <v>1321451.38</v>
      </c>
      <c r="D31" s="370">
        <v>1469906.7000000002</v>
      </c>
      <c r="E31" s="370">
        <v>1168329.8399999999</v>
      </c>
      <c r="F31" s="370">
        <v>1457407.6499999997</v>
      </c>
      <c r="G31" s="370">
        <v>1034175.49</v>
      </c>
      <c r="H31" s="370">
        <v>1006489.5900000001</v>
      </c>
      <c r="I31" s="370">
        <v>1002545.5100000001</v>
      </c>
      <c r="J31" s="370">
        <v>1273185.8099999998</v>
      </c>
      <c r="K31" s="370">
        <v>1371210.7300000002</v>
      </c>
      <c r="L31" s="370">
        <v>1800751.0200000003</v>
      </c>
      <c r="M31" s="671">
        <f>+SUM(C35:L35)</f>
        <v>0.7131058083382839</v>
      </c>
      <c r="O31" s="3"/>
    </row>
    <row r="32" spans="1:15" ht="15">
      <c r="A32" s="3"/>
      <c r="B32" s="92" t="str">
        <f>CONCATENATE("Disbursements by GF (in ",$D$26,")")</f>
        <v>Disbursements by GF (in $)</v>
      </c>
      <c r="C32" s="371">
        <f>1332486+154990.66+(400000*0)</f>
        <v>1487476.66</v>
      </c>
      <c r="D32" s="371">
        <v>503057</v>
      </c>
      <c r="E32" s="371"/>
      <c r="F32" s="371"/>
      <c r="G32" s="371"/>
      <c r="H32" s="371"/>
      <c r="I32" s="370"/>
      <c r="J32" s="370"/>
      <c r="K32" s="370"/>
      <c r="L32" s="370"/>
      <c r="M32" s="672"/>
      <c r="O32" s="3"/>
    </row>
    <row r="33" spans="1:15" ht="15">
      <c r="A33" s="3"/>
      <c r="B33" s="93" t="s">
        <v>384</v>
      </c>
      <c r="C33" s="372">
        <f>+C31</f>
        <v>1321451.38</v>
      </c>
      <c r="D33" s="372">
        <f>IF(AND(D31=0,D32=0),0,+C33+D31)</f>
        <v>2791358.08</v>
      </c>
      <c r="E33" s="372">
        <f aca="true" t="shared" si="0" ref="E33:L33">IF(AND(E31=0,E32=0),0,+D33+E31)</f>
        <v>3959687.92</v>
      </c>
      <c r="F33" s="372">
        <f t="shared" si="0"/>
        <v>5417095.569999999</v>
      </c>
      <c r="G33" s="372">
        <f t="shared" si="0"/>
        <v>6451271.06</v>
      </c>
      <c r="H33" s="372">
        <f t="shared" si="0"/>
        <v>7457760.649999999</v>
      </c>
      <c r="I33" s="372">
        <f t="shared" si="0"/>
        <v>8460306.16</v>
      </c>
      <c r="J33" s="372">
        <f t="shared" si="0"/>
        <v>9733491.97</v>
      </c>
      <c r="K33" s="372">
        <f t="shared" si="0"/>
        <v>11104702.700000001</v>
      </c>
      <c r="L33" s="372">
        <f t="shared" si="0"/>
        <v>12905453.72</v>
      </c>
      <c r="M33" s="672"/>
      <c r="O33" s="3"/>
    </row>
    <row r="34" spans="1:15" ht="15.75" thickBot="1">
      <c r="A34" s="3"/>
      <c r="B34" s="94" t="s">
        <v>385</v>
      </c>
      <c r="C34" s="373">
        <f>C32</f>
        <v>1487476.66</v>
      </c>
      <c r="D34" s="373">
        <f aca="true" t="shared" si="1" ref="D34:L34">IF(AND(D31=0,D32=0),0,+C34+D32)</f>
        <v>1990533.66</v>
      </c>
      <c r="E34" s="373">
        <f t="shared" si="1"/>
        <v>1990533.66</v>
      </c>
      <c r="F34" s="373">
        <f t="shared" si="1"/>
        <v>1990533.66</v>
      </c>
      <c r="G34" s="373">
        <f t="shared" si="1"/>
        <v>1990533.66</v>
      </c>
      <c r="H34" s="373">
        <f t="shared" si="1"/>
        <v>1990533.66</v>
      </c>
      <c r="I34" s="373">
        <f t="shared" si="1"/>
        <v>1990533.66</v>
      </c>
      <c r="J34" s="373">
        <f t="shared" si="1"/>
        <v>1990533.66</v>
      </c>
      <c r="K34" s="373">
        <f t="shared" si="1"/>
        <v>1990533.66</v>
      </c>
      <c r="L34" s="373">
        <f t="shared" si="1"/>
        <v>1990533.66</v>
      </c>
      <c r="M34" s="673"/>
      <c r="O34" s="3"/>
    </row>
    <row r="35" spans="1:17" ht="15">
      <c r="A35" s="3"/>
      <c r="B35" s="3"/>
      <c r="C35" s="333">
        <f>+IF(AND(C30=$C$16,C33&lt;&gt;0),C34/C33,0)</f>
        <v>0</v>
      </c>
      <c r="D35" s="333">
        <f>+IF(AND(D30=$C$16,D33&lt;&gt;0),D34/D33,0)</f>
        <v>0.7131058083382839</v>
      </c>
      <c r="E35" s="333">
        <f aca="true" t="shared" si="2" ref="E35:P35">+IF(AND(E30=$C$16,E33&lt;&gt;0),E34/E33,0)</f>
        <v>0</v>
      </c>
      <c r="F35" s="333">
        <f t="shared" si="2"/>
        <v>0</v>
      </c>
      <c r="G35" s="333">
        <f t="shared" si="2"/>
        <v>0</v>
      </c>
      <c r="H35" s="333">
        <f t="shared" si="2"/>
        <v>0</v>
      </c>
      <c r="I35" s="333">
        <f t="shared" si="2"/>
        <v>0</v>
      </c>
      <c r="J35" s="333">
        <f t="shared" si="2"/>
        <v>0</v>
      </c>
      <c r="K35" s="333">
        <f t="shared" si="2"/>
        <v>0</v>
      </c>
      <c r="L35" s="333">
        <f t="shared" si="2"/>
        <v>0</v>
      </c>
      <c r="M35" s="333" t="e">
        <f>+IF(AND(#REF!=$C$16,#REF!&lt;&gt;0),#REF!/#REF!,0)</f>
        <v>#REF!</v>
      </c>
      <c r="N35" s="333">
        <f t="shared" si="2"/>
        <v>0</v>
      </c>
      <c r="O35" s="333">
        <f t="shared" si="2"/>
        <v>0</v>
      </c>
      <c r="P35" s="333">
        <f t="shared" si="2"/>
        <v>0</v>
      </c>
      <c r="Q35" s="283"/>
    </row>
    <row r="36" spans="1:17" ht="18.75">
      <c r="A36" s="3"/>
      <c r="B36" s="89" t="s">
        <v>377</v>
      </c>
      <c r="C36" s="3"/>
      <c r="D36" s="3"/>
      <c r="E36" s="347"/>
      <c r="F36" s="3"/>
      <c r="G36" s="256"/>
      <c r="H36" s="3"/>
      <c r="I36" s="3"/>
      <c r="J36" s="3"/>
      <c r="K36" s="3"/>
      <c r="L36" s="3"/>
      <c r="M36" s="3"/>
      <c r="N36" s="41"/>
      <c r="O36" s="41"/>
      <c r="P36" s="41"/>
      <c r="Q36" s="41"/>
    </row>
    <row r="37" spans="1:17" ht="15.75" thickBot="1">
      <c r="A37" s="3"/>
      <c r="B37" s="3"/>
      <c r="C37" s="3"/>
      <c r="D37" s="3"/>
      <c r="E37" s="3"/>
      <c r="F37" s="3"/>
      <c r="G37" s="3"/>
      <c r="H37" s="459">
        <f>+C44-I34</f>
        <v>800824.4200000002</v>
      </c>
      <c r="I37" s="3"/>
      <c r="J37" s="3"/>
      <c r="K37" s="3"/>
      <c r="L37" s="201"/>
      <c r="M37" s="3"/>
      <c r="N37" s="39"/>
      <c r="O37" s="39"/>
      <c r="P37" s="39"/>
      <c r="Q37" s="39"/>
    </row>
    <row r="38" spans="1:17" ht="30" customHeight="1">
      <c r="A38" s="3"/>
      <c r="B38" s="382" t="s">
        <v>446</v>
      </c>
      <c r="C38" s="383" t="str">
        <f>CONCATENATE("Cumulative Budget (in ",'Data Entry'!$D$26,")")</f>
        <v>Cumulative Budget (in $)</v>
      </c>
      <c r="D38" s="475" t="str">
        <f>CONCATENATE("Cumulative Expenditures (in ",'Data Entry'!$D$26,")")</f>
        <v>Cumulative Expenditures (in $)</v>
      </c>
      <c r="E38" s="478" t="s">
        <v>455</v>
      </c>
      <c r="F38" s="475" t="str">
        <f>CONCATENATE("Cumulative Budget (in ",'Data Entry'!$D$26,")")</f>
        <v>Cumulative Budget (in $)</v>
      </c>
      <c r="G38" s="478" t="str">
        <f>CONCATENATE("Cumulative Expenditures (in ",'Data Entry'!$D$26,")")</f>
        <v>Cumulative Expenditures (in $)</v>
      </c>
      <c r="H38" s="3"/>
      <c r="I38" s="3"/>
      <c r="J38" s="98"/>
      <c r="K38" s="42"/>
      <c r="L38" s="648"/>
      <c r="N38"/>
      <c r="O38"/>
      <c r="P38"/>
      <c r="Q38"/>
    </row>
    <row r="39" spans="1:17" ht="14.25" customHeight="1">
      <c r="A39" s="3"/>
      <c r="B39" s="384" t="s">
        <v>449</v>
      </c>
      <c r="C39" s="381">
        <f>302154.78+174153.3</f>
        <v>476308.08</v>
      </c>
      <c r="D39" s="476">
        <f>5993.61+294102.82</f>
        <v>300096.43</v>
      </c>
      <c r="E39" s="384" t="s">
        <v>456</v>
      </c>
      <c r="F39" s="381">
        <f>247576.3+394623.43</f>
        <v>642199.73</v>
      </c>
      <c r="G39" s="476">
        <f>6145.5975+112395.65</f>
        <v>118541.2475</v>
      </c>
      <c r="H39" s="3"/>
      <c r="I39" s="3"/>
      <c r="J39" s="99"/>
      <c r="K39" s="43"/>
      <c r="L39" s="648"/>
      <c r="N39"/>
      <c r="O39"/>
      <c r="P39"/>
      <c r="Q39"/>
    </row>
    <row r="40" spans="1:15" ht="14.25" customHeight="1">
      <c r="A40" s="3"/>
      <c r="B40" s="384" t="s">
        <v>450</v>
      </c>
      <c r="C40" s="381">
        <f>74183.42+74183.42</f>
        <v>148366.84</v>
      </c>
      <c r="D40" s="476">
        <f>0+1693.1</f>
        <v>1693.1</v>
      </c>
      <c r="E40" s="384" t="s">
        <v>459</v>
      </c>
      <c r="F40" s="381">
        <f>633044.58+399220.71</f>
        <v>1032265.29</v>
      </c>
      <c r="G40" s="476">
        <f>40634.4895015319+467329.55</f>
        <v>507964.03950153186</v>
      </c>
      <c r="H40" s="3"/>
      <c r="I40" s="201"/>
      <c r="J40" s="3"/>
      <c r="K40" s="43"/>
      <c r="L40" s="648"/>
      <c r="N40"/>
      <c r="O40"/>
    </row>
    <row r="41" spans="1:15" ht="14.25" customHeight="1">
      <c r="A41" s="3"/>
      <c r="B41" s="384" t="s">
        <v>451</v>
      </c>
      <c r="C41" s="381">
        <f>49231.64+49231.64</f>
        <v>98463.28</v>
      </c>
      <c r="D41" s="476">
        <f>32341.86+25966.65</f>
        <v>58308.51</v>
      </c>
      <c r="E41" s="384" t="s">
        <v>457</v>
      </c>
      <c r="F41" s="381">
        <f>225586.33+460818.39</f>
        <v>686404.72</v>
      </c>
      <c r="G41" s="476">
        <f>32722.7575+85454.15</f>
        <v>118176.9075</v>
      </c>
      <c r="H41" s="3"/>
      <c r="I41" s="201"/>
      <c r="J41" s="3"/>
      <c r="K41" s="43"/>
      <c r="L41" s="648"/>
      <c r="N41"/>
      <c r="O41"/>
    </row>
    <row r="42" spans="1:15" ht="14.25" customHeight="1">
      <c r="A42" s="3"/>
      <c r="B42" s="384" t="s">
        <v>452</v>
      </c>
      <c r="C42" s="381">
        <f>15576.17+15576.17</f>
        <v>31152.34</v>
      </c>
      <c r="D42" s="476">
        <f>0+297.26</f>
        <v>297.26</v>
      </c>
      <c r="E42" s="384" t="s">
        <v>458</v>
      </c>
      <c r="F42" s="381">
        <f>215244.17+215244.17</f>
        <v>430488.34</v>
      </c>
      <c r="G42" s="476">
        <f>159322.1775+142232.08</f>
        <v>301554.25749999995</v>
      </c>
      <c r="H42" s="3"/>
      <c r="I42" s="201"/>
      <c r="J42" s="3"/>
      <c r="K42" s="43"/>
      <c r="L42" s="648"/>
      <c r="N42"/>
      <c r="O42"/>
    </row>
    <row r="43" spans="1:15" ht="14.25" customHeight="1">
      <c r="A43" s="3"/>
      <c r="B43" s="384" t="s">
        <v>453</v>
      </c>
      <c r="C43" s="381">
        <f>880305.37+1156762.17</f>
        <v>2037067.54</v>
      </c>
      <c r="D43" s="476">
        <f>200489.552001532+485351.6</f>
        <v>685841.152001532</v>
      </c>
      <c r="E43" s="479" t="s">
        <v>460</v>
      </c>
      <c r="F43" s="480">
        <f>SUM(F39:F42)</f>
        <v>2791358.08</v>
      </c>
      <c r="G43" s="480">
        <f>SUM(G39:G42)</f>
        <v>1046236.4520015317</v>
      </c>
      <c r="H43" s="3"/>
      <c r="I43" s="201"/>
      <c r="J43" s="3"/>
      <c r="K43" s="43"/>
      <c r="L43" s="648"/>
      <c r="N43"/>
      <c r="O43"/>
    </row>
    <row r="44" spans="1:17" ht="15.75" thickBot="1">
      <c r="A44" s="3"/>
      <c r="B44" s="385" t="s">
        <v>59</v>
      </c>
      <c r="C44" s="386">
        <f>SUM(C39:C43)</f>
        <v>2791358.08</v>
      </c>
      <c r="D44" s="477">
        <f>SUM(D39:D43)</f>
        <v>1046236.4520015321</v>
      </c>
      <c r="E44" s="354"/>
      <c r="F44" s="678" t="str">
        <f ca="1">+IF((ROUND(C44,0)=ROUND(OFFSET(B33,0,RIGHT('Data Entry'!$C$16,LEN('Data Entry'!$C$16)-1),1,1),0)),"OK: Data match","Warning: Data does not match")</f>
        <v>OK: Data match</v>
      </c>
      <c r="G44" s="679"/>
      <c r="H44" s="679"/>
      <c r="I44" s="680"/>
      <c r="J44" s="201"/>
      <c r="K44" s="201"/>
      <c r="L44" s="201"/>
      <c r="M44" s="207"/>
      <c r="N44" s="208"/>
      <c r="O44" s="208"/>
      <c r="P44" s="208"/>
      <c r="Q44" s="206"/>
    </row>
    <row r="45" spans="1:18" s="509" customFormat="1" ht="15.75" thickBot="1">
      <c r="A45" s="510"/>
      <c r="B45" s="513"/>
      <c r="C45" s="514"/>
      <c r="D45" s="514"/>
      <c r="E45" s="515"/>
      <c r="F45" s="520"/>
      <c r="G45" s="520"/>
      <c r="H45" s="520"/>
      <c r="I45" s="520"/>
      <c r="J45" s="512"/>
      <c r="K45" s="512"/>
      <c r="L45" s="512"/>
      <c r="M45" s="207"/>
      <c r="N45" s="208"/>
      <c r="O45" s="208"/>
      <c r="P45" s="208"/>
      <c r="Q45" s="206"/>
      <c r="R45" s="511"/>
    </row>
    <row r="46" spans="1:18" s="509" customFormat="1" ht="15">
      <c r="A46" s="510"/>
      <c r="B46" s="519" t="s">
        <v>446</v>
      </c>
      <c r="C46" s="518" t="s">
        <v>484</v>
      </c>
      <c r="D46" s="517" t="s">
        <v>485</v>
      </c>
      <c r="E46" s="516" t="s">
        <v>455</v>
      </c>
      <c r="F46" s="517" t="s">
        <v>484</v>
      </c>
      <c r="G46" s="516" t="s">
        <v>485</v>
      </c>
      <c r="H46" s="520"/>
      <c r="I46" s="520"/>
      <c r="J46" s="512"/>
      <c r="K46" s="512"/>
      <c r="L46" s="512"/>
      <c r="M46" s="207"/>
      <c r="N46" s="208"/>
      <c r="O46" s="208"/>
      <c r="P46" s="208"/>
      <c r="Q46" s="206"/>
      <c r="R46" s="511"/>
    </row>
    <row r="47" spans="1:18" s="509" customFormat="1" ht="15">
      <c r="A47" s="510"/>
      <c r="B47" s="496" t="s">
        <v>449</v>
      </c>
      <c r="C47" s="497">
        <f>C39/C$44</f>
        <v>0.1706366816255978</v>
      </c>
      <c r="D47" s="498">
        <f aca="true" t="shared" si="3" ref="D47:D52">D39/C39</f>
        <v>0.6300469015768113</v>
      </c>
      <c r="E47" s="496" t="s">
        <v>456</v>
      </c>
      <c r="F47" s="499">
        <f>F39/F$43</f>
        <v>0.2300671256050388</v>
      </c>
      <c r="G47" s="500">
        <f>G39/F39</f>
        <v>0.18458626181608642</v>
      </c>
      <c r="H47" s="520"/>
      <c r="I47" s="520"/>
      <c r="J47" s="512"/>
      <c r="K47" s="512"/>
      <c r="L47" s="512"/>
      <c r="M47" s="207"/>
      <c r="N47" s="208"/>
      <c r="O47" s="208"/>
      <c r="P47" s="208"/>
      <c r="Q47" s="206"/>
      <c r="R47" s="511"/>
    </row>
    <row r="48" spans="1:17" ht="15">
      <c r="A48" s="3"/>
      <c r="B48" s="496" t="s">
        <v>450</v>
      </c>
      <c r="C48" s="497">
        <f>C40/C$44</f>
        <v>0.053152206111800604</v>
      </c>
      <c r="D48" s="498">
        <f t="shared" si="3"/>
        <v>0.011411579568588237</v>
      </c>
      <c r="E48" s="496" t="s">
        <v>459</v>
      </c>
      <c r="F48" s="499">
        <f>F40/F$43</f>
        <v>0.36980754901929314</v>
      </c>
      <c r="G48" s="500">
        <f>G40/F40</f>
        <v>0.49208671881385435</v>
      </c>
      <c r="H48" s="520"/>
      <c r="I48" s="520"/>
      <c r="J48" s="201"/>
      <c r="K48" s="201"/>
      <c r="L48" s="201"/>
      <c r="M48" s="207"/>
      <c r="N48" s="208"/>
      <c r="O48" s="208"/>
      <c r="P48" s="208"/>
      <c r="Q48" s="206"/>
    </row>
    <row r="49" spans="1:17" ht="15">
      <c r="A49" s="3"/>
      <c r="B49" s="496" t="s">
        <v>451</v>
      </c>
      <c r="C49" s="497">
        <f>C41/C$44</f>
        <v>0.035274327828266304</v>
      </c>
      <c r="D49" s="498">
        <f t="shared" si="3"/>
        <v>0.5921853304094684</v>
      </c>
      <c r="E49" s="496" t="s">
        <v>457</v>
      </c>
      <c r="F49" s="499">
        <f>F41/F$43</f>
        <v>0.24590349941774578</v>
      </c>
      <c r="G49" s="500">
        <f>G41/F41</f>
        <v>0.172167970377593</v>
      </c>
      <c r="H49" s="520"/>
      <c r="I49" s="520"/>
      <c r="J49" s="201"/>
      <c r="K49" s="201"/>
      <c r="L49" s="201"/>
      <c r="M49" s="207"/>
      <c r="N49" s="208"/>
      <c r="O49" s="208"/>
      <c r="P49" s="208"/>
      <c r="Q49" s="206"/>
    </row>
    <row r="50" spans="1:17" ht="15">
      <c r="A50" s="3"/>
      <c r="B50" s="496" t="s">
        <v>452</v>
      </c>
      <c r="C50" s="497">
        <f>C42/C$44</f>
        <v>0.011160280804962149</v>
      </c>
      <c r="D50" s="498">
        <f t="shared" si="3"/>
        <v>0.009542140333599338</v>
      </c>
      <c r="E50" s="496" t="s">
        <v>458</v>
      </c>
      <c r="F50" s="499">
        <f>F42/F$43</f>
        <v>0.15422182595792225</v>
      </c>
      <c r="G50" s="500">
        <f>G42/F42</f>
        <v>0.7004934384517822</v>
      </c>
      <c r="H50" s="520"/>
      <c r="I50" s="520"/>
      <c r="J50" s="201"/>
      <c r="K50" s="201"/>
      <c r="L50" s="201"/>
      <c r="M50" s="207"/>
      <c r="N50" s="208"/>
      <c r="O50" s="208"/>
      <c r="P50" s="208"/>
      <c r="Q50" s="206"/>
    </row>
    <row r="51" spans="1:17" ht="15">
      <c r="A51" s="3"/>
      <c r="B51" s="496" t="s">
        <v>453</v>
      </c>
      <c r="C51" s="497">
        <f>C43/C$44</f>
        <v>0.7297765036293731</v>
      </c>
      <c r="D51" s="498">
        <f t="shared" si="3"/>
        <v>0.33668061492037327</v>
      </c>
      <c r="E51" s="501" t="s">
        <v>460</v>
      </c>
      <c r="F51" s="502">
        <v>1</v>
      </c>
      <c r="G51" s="500">
        <f>G43/F43</f>
        <v>0.37481269762478187</v>
      </c>
      <c r="H51" s="520"/>
      <c r="I51" s="520"/>
      <c r="J51" s="201"/>
      <c r="K51" s="201"/>
      <c r="L51" s="201"/>
      <c r="M51" s="207"/>
      <c r="N51" s="208"/>
      <c r="O51" s="208"/>
      <c r="P51" s="208"/>
      <c r="Q51" s="206"/>
    </row>
    <row r="52" spans="1:17" ht="15.75" thickBot="1">
      <c r="A52" s="3"/>
      <c r="B52" s="503" t="s">
        <v>59</v>
      </c>
      <c r="C52" s="504">
        <v>1.0000000000000002</v>
      </c>
      <c r="D52" s="504">
        <f t="shared" si="3"/>
        <v>0.374812697624782</v>
      </c>
      <c r="E52" s="505"/>
      <c r="F52" s="506"/>
      <c r="G52" s="506"/>
      <c r="H52" s="520"/>
      <c r="I52" s="520"/>
      <c r="J52" s="201"/>
      <c r="K52" s="201"/>
      <c r="L52" s="201"/>
      <c r="M52" s="207"/>
      <c r="N52" s="208"/>
      <c r="O52" s="208"/>
      <c r="P52" s="208"/>
      <c r="Q52" s="206"/>
    </row>
    <row r="53" spans="1:17" ht="15">
      <c r="A53" s="3"/>
      <c r="B53" s="507"/>
      <c r="C53" s="508"/>
      <c r="D53" s="508"/>
      <c r="E53" s="505"/>
      <c r="F53" s="506"/>
      <c r="G53" s="506"/>
      <c r="H53" s="520"/>
      <c r="I53" s="520"/>
      <c r="J53" s="201"/>
      <c r="K53" s="201"/>
      <c r="L53" s="201"/>
      <c r="M53" s="207"/>
      <c r="N53" s="208"/>
      <c r="O53" s="208"/>
      <c r="P53" s="208"/>
      <c r="Q53" s="206"/>
    </row>
    <row r="54" spans="1:17" ht="15">
      <c r="A54" s="3"/>
      <c r="B54" s="3"/>
      <c r="C54" s="201"/>
      <c r="D54" s="201"/>
      <c r="F54" s="520"/>
      <c r="G54" s="520"/>
      <c r="H54" s="520"/>
      <c r="I54" s="520"/>
      <c r="J54" s="201"/>
      <c r="K54" s="201"/>
      <c r="L54" s="201"/>
      <c r="M54" s="201"/>
      <c r="N54" s="201"/>
      <c r="O54" s="201"/>
      <c r="P54" s="201"/>
      <c r="Q54" s="201"/>
    </row>
    <row r="55" spans="1:13" ht="18.75">
      <c r="A55" s="3"/>
      <c r="B55" s="89" t="s">
        <v>376</v>
      </c>
      <c r="C55" s="3"/>
      <c r="D55" s="201"/>
      <c r="F55" s="3"/>
      <c r="H55" s="520"/>
      <c r="I55" s="520"/>
      <c r="J55" s="3"/>
      <c r="K55" s="3"/>
      <c r="L55" s="3"/>
      <c r="M55" s="3"/>
    </row>
    <row r="56" spans="1:13" ht="15.75" thickBot="1">
      <c r="A56" s="3"/>
      <c r="B56" s="3"/>
      <c r="C56" s="3"/>
      <c r="D56" s="3"/>
      <c r="E56" s="3"/>
      <c r="F56" s="3"/>
      <c r="H56" s="520"/>
      <c r="I56" s="520"/>
      <c r="J56" s="3"/>
      <c r="K56" s="3"/>
      <c r="L56" s="3"/>
      <c r="M56" s="3"/>
    </row>
    <row r="57" spans="1:17" ht="35.25" customHeight="1">
      <c r="A57" s="3"/>
      <c r="B57" s="287"/>
      <c r="C57" s="288" t="s">
        <v>374</v>
      </c>
      <c r="D57" s="288" t="s">
        <v>375</v>
      </c>
      <c r="E57" s="400" t="str">
        <f>CONCATENATE("Total Spent and Disbursement (in ",D26,")")</f>
        <v>Total Spent and Disbursement (in $)</v>
      </c>
      <c r="F57" s="201"/>
      <c r="H57" s="520"/>
      <c r="I57" s="520"/>
      <c r="J57" s="452"/>
      <c r="K57" s="453"/>
      <c r="L57" s="452"/>
      <c r="M57" s="22"/>
      <c r="N57" s="22"/>
      <c r="O57" s="22"/>
      <c r="P57" s="22"/>
      <c r="Q57" s="205"/>
    </row>
    <row r="58" spans="1:17" ht="15">
      <c r="A58" s="3"/>
      <c r="B58" s="285" t="s">
        <v>309</v>
      </c>
      <c r="C58" s="374">
        <f>C32</f>
        <v>1487476.66</v>
      </c>
      <c r="D58" s="375">
        <f>+D32</f>
        <v>503057</v>
      </c>
      <c r="E58" s="376">
        <f>+D58+C58</f>
        <v>1990533.66</v>
      </c>
      <c r="F58" s="3"/>
      <c r="G58" s="451"/>
      <c r="H58" s="289"/>
      <c r="I58" s="95"/>
      <c r="J58" s="454"/>
      <c r="K58" s="453"/>
      <c r="L58" s="455"/>
      <c r="M58" s="37"/>
      <c r="N58" s="37"/>
      <c r="O58" s="37"/>
      <c r="P58" s="37"/>
      <c r="Q58" s="205"/>
    </row>
    <row r="59" spans="1:17" ht="15">
      <c r="A59" s="3"/>
      <c r="B59" s="285" t="s">
        <v>288</v>
      </c>
      <c r="C59" s="374">
        <v>242606</v>
      </c>
      <c r="D59" s="374">
        <f>202617.59+777373.28</f>
        <v>979990.87</v>
      </c>
      <c r="E59" s="376">
        <f>+D59+C59</f>
        <v>1222596.87</v>
      </c>
      <c r="F59" s="201"/>
      <c r="G59" s="451"/>
      <c r="H59" s="464"/>
      <c r="I59" s="95"/>
      <c r="J59" s="454"/>
      <c r="K59" s="456"/>
      <c r="L59" s="457"/>
      <c r="M59" s="38"/>
      <c r="N59" s="38"/>
      <c r="O59" s="38"/>
      <c r="P59" s="38"/>
      <c r="Q59" s="205"/>
    </row>
    <row r="60" spans="1:17" ht="15">
      <c r="A60" s="3"/>
      <c r="B60" s="285" t="s">
        <v>268</v>
      </c>
      <c r="C60" s="374">
        <v>34667</v>
      </c>
      <c r="D60" s="374">
        <v>777373.28</v>
      </c>
      <c r="E60" s="376">
        <f>+D60+C60</f>
        <v>812040.28</v>
      </c>
      <c r="F60" s="3"/>
      <c r="G60" s="451"/>
      <c r="H60" s="289"/>
      <c r="I60" s="95"/>
      <c r="J60" s="458"/>
      <c r="K60" s="456"/>
      <c r="L60" s="457"/>
      <c r="M60" s="37"/>
      <c r="N60" s="37"/>
      <c r="O60" s="37"/>
      <c r="P60" s="37"/>
      <c r="Q60"/>
    </row>
    <row r="61" spans="1:17" ht="15.75" thickBot="1">
      <c r="A61" s="3"/>
      <c r="B61" s="286" t="s">
        <v>269</v>
      </c>
      <c r="C61" s="377">
        <v>30887</v>
      </c>
      <c r="D61" s="377">
        <f>53574.51+117559.58+433659.75</f>
        <v>604793.84</v>
      </c>
      <c r="E61" s="376">
        <f>+D61+C61</f>
        <v>635680.84</v>
      </c>
      <c r="F61" s="201"/>
      <c r="G61" s="451"/>
      <c r="H61" s="290"/>
      <c r="I61" s="96"/>
      <c r="J61" s="458"/>
      <c r="K61" s="456"/>
      <c r="L61" s="457"/>
      <c r="M61" s="38"/>
      <c r="N61" s="38"/>
      <c r="O61" s="38"/>
      <c r="P61" s="38"/>
      <c r="Q61"/>
    </row>
    <row r="62" spans="1:13" ht="15.75" customHeight="1">
      <c r="A62" s="3"/>
      <c r="B62" s="201"/>
      <c r="C62" s="201"/>
      <c r="D62" s="201"/>
      <c r="E62" s="3"/>
      <c r="F62" s="3"/>
      <c r="G62" s="201"/>
      <c r="H62" s="3"/>
      <c r="I62" s="3"/>
      <c r="J62" s="456"/>
      <c r="K62" s="453"/>
      <c r="L62" s="453"/>
      <c r="M62" s="3"/>
    </row>
    <row r="63" spans="1:13" ht="15">
      <c r="A63" s="3"/>
      <c r="B63" s="201"/>
      <c r="C63" s="201"/>
      <c r="D63" s="271"/>
      <c r="E63" s="201"/>
      <c r="F63" s="449"/>
      <c r="G63" s="201"/>
      <c r="H63" s="3"/>
      <c r="I63" s="3"/>
      <c r="J63" s="456"/>
      <c r="K63" s="453"/>
      <c r="L63" s="453"/>
      <c r="M63" s="3"/>
    </row>
    <row r="64" spans="1:13" ht="18.75">
      <c r="A64" s="3"/>
      <c r="B64" s="89" t="s">
        <v>379</v>
      </c>
      <c r="C64" s="3"/>
      <c r="D64" s="201"/>
      <c r="E64" s="356"/>
      <c r="F64" s="3"/>
      <c r="G64" s="3"/>
      <c r="H64" s="3"/>
      <c r="I64" s="449"/>
      <c r="J64" s="449"/>
      <c r="K64" s="3"/>
      <c r="L64" s="3"/>
      <c r="M64" s="3"/>
    </row>
    <row r="65" spans="1:13" ht="15.75" thickBot="1">
      <c r="A65" s="3"/>
      <c r="B65" s="3"/>
      <c r="C65" s="3"/>
      <c r="D65" s="3"/>
      <c r="E65" s="450"/>
      <c r="F65" s="3"/>
      <c r="G65" s="201"/>
      <c r="H65" s="3"/>
      <c r="I65" s="3"/>
      <c r="J65" s="3"/>
      <c r="K65" s="3"/>
      <c r="L65" s="3"/>
      <c r="M65" s="3"/>
    </row>
    <row r="66" spans="1:17" ht="15">
      <c r="A66" s="3"/>
      <c r="B66" s="729" t="s">
        <v>344</v>
      </c>
      <c r="C66" s="730"/>
      <c r="D66" s="731"/>
      <c r="E66" s="3"/>
      <c r="F66" s="3"/>
      <c r="G66" s="449"/>
      <c r="H66" s="3"/>
      <c r="I66" s="448"/>
      <c r="J66" s="3"/>
      <c r="K66" s="3"/>
      <c r="L66" s="3"/>
      <c r="M66" s="36"/>
      <c r="Q66"/>
    </row>
    <row r="67" spans="1:17" ht="15">
      <c r="A67" s="3"/>
      <c r="B67" s="100"/>
      <c r="C67" s="292" t="s">
        <v>61</v>
      </c>
      <c r="D67" s="293" t="s">
        <v>62</v>
      </c>
      <c r="E67" s="3"/>
      <c r="F67" s="3"/>
      <c r="G67" s="3"/>
      <c r="H67" s="3"/>
      <c r="I67" s="449"/>
      <c r="J67" s="3"/>
      <c r="K67" s="3"/>
      <c r="L67" s="3"/>
      <c r="M67" s="36"/>
      <c r="Q67"/>
    </row>
    <row r="68" spans="1:17" ht="15">
      <c r="A68" s="3"/>
      <c r="B68" s="101" t="s">
        <v>1</v>
      </c>
      <c r="C68" s="357">
        <v>45</v>
      </c>
      <c r="D68" s="358">
        <v>44</v>
      </c>
      <c r="E68" s="3"/>
      <c r="F68" s="3"/>
      <c r="G68" s="3"/>
      <c r="H68" s="449"/>
      <c r="I68" s="3"/>
      <c r="J68" s="3"/>
      <c r="K68" s="3"/>
      <c r="L68" s="3"/>
      <c r="M68" s="36"/>
      <c r="Q68"/>
    </row>
    <row r="69" spans="1:17" ht="15">
      <c r="A69" s="3"/>
      <c r="B69" s="291" t="s">
        <v>361</v>
      </c>
      <c r="C69" s="357">
        <v>10</v>
      </c>
      <c r="D69" s="358">
        <v>10</v>
      </c>
      <c r="E69" s="3"/>
      <c r="F69" s="3"/>
      <c r="G69" s="3"/>
      <c r="H69" s="289"/>
      <c r="I69" s="289"/>
      <c r="J69" s="3"/>
      <c r="K69" s="3"/>
      <c r="L69" s="3"/>
      <c r="M69" s="36"/>
      <c r="Q69"/>
    </row>
    <row r="70" spans="1:17" ht="15.75" thickBot="1">
      <c r="A70" s="3"/>
      <c r="B70" s="102" t="s">
        <v>362</v>
      </c>
      <c r="C70" s="359">
        <v>3</v>
      </c>
      <c r="D70" s="360">
        <v>3</v>
      </c>
      <c r="E70" s="3"/>
      <c r="F70" s="3"/>
      <c r="G70" s="3"/>
      <c r="H70" s="289"/>
      <c r="I70" s="289"/>
      <c r="J70" s="3"/>
      <c r="K70" s="3"/>
      <c r="L70" s="3"/>
      <c r="M70" s="36"/>
      <c r="Q70"/>
    </row>
    <row r="71" spans="1:13" ht="15">
      <c r="A71" s="3"/>
      <c r="B71" s="3"/>
      <c r="C71" s="3"/>
      <c r="D71" s="3"/>
      <c r="E71" s="3"/>
      <c r="F71" s="3"/>
      <c r="G71" s="3"/>
      <c r="H71" s="3"/>
      <c r="I71" s="3"/>
      <c r="J71" s="3"/>
      <c r="K71" s="3"/>
      <c r="L71" s="3"/>
      <c r="M71" s="3"/>
    </row>
    <row r="72" spans="1:13" ht="15.75" thickBot="1">
      <c r="A72" s="3"/>
      <c r="B72" s="3"/>
      <c r="C72" s="3"/>
      <c r="D72" s="3"/>
      <c r="E72" s="3"/>
      <c r="F72" s="3"/>
      <c r="G72" s="3"/>
      <c r="H72" s="3"/>
      <c r="I72" s="3"/>
      <c r="J72" s="3"/>
      <c r="K72" s="3"/>
      <c r="L72" s="396"/>
      <c r="M72" s="3"/>
    </row>
    <row r="73" spans="1:17" ht="19.5" thickBot="1">
      <c r="A73" s="3"/>
      <c r="B73" s="103" t="s">
        <v>262</v>
      </c>
      <c r="C73" s="104"/>
      <c r="D73" s="104"/>
      <c r="E73" s="104"/>
      <c r="F73" s="104"/>
      <c r="G73" s="104"/>
      <c r="H73" s="316" t="s">
        <v>302</v>
      </c>
      <c r="I73" s="104"/>
      <c r="J73" s="105"/>
      <c r="K73" s="105"/>
      <c r="L73" s="397"/>
      <c r="M73" s="398"/>
      <c r="N73" s="83"/>
      <c r="O73" s="83"/>
      <c r="P73" s="83"/>
      <c r="Q73" s="83"/>
    </row>
    <row r="74" spans="1:17" ht="18.75">
      <c r="A74" s="3"/>
      <c r="B74" s="107"/>
      <c r="C74" s="106"/>
      <c r="D74" s="106"/>
      <c r="E74" s="106"/>
      <c r="F74" s="106"/>
      <c r="G74" s="106"/>
      <c r="H74" s="106"/>
      <c r="I74" s="106"/>
      <c r="J74" s="106"/>
      <c r="K74" s="108"/>
      <c r="L74" s="108"/>
      <c r="M74" s="106"/>
      <c r="N74" s="83"/>
      <c r="O74" s="83"/>
      <c r="P74" s="83"/>
      <c r="Q74" s="83"/>
    </row>
    <row r="75" spans="1:17" ht="18.75">
      <c r="A75" s="3"/>
      <c r="B75" s="107" t="s">
        <v>380</v>
      </c>
      <c r="C75" s="106"/>
      <c r="D75" s="106"/>
      <c r="E75" s="106"/>
      <c r="F75" s="106"/>
      <c r="G75" s="106"/>
      <c r="H75" s="106"/>
      <c r="I75" s="106"/>
      <c r="J75" s="106"/>
      <c r="K75" s="108"/>
      <c r="L75" s="108"/>
      <c r="M75" s="106"/>
      <c r="N75" s="83"/>
      <c r="O75" s="83"/>
      <c r="P75" s="83"/>
      <c r="Q75" s="83"/>
    </row>
    <row r="76" spans="1:17" ht="15.75" thickBot="1">
      <c r="A76" s="3"/>
      <c r="B76" s="2"/>
      <c r="C76" s="109"/>
      <c r="D76" s="109"/>
      <c r="E76" s="109"/>
      <c r="F76" s="109"/>
      <c r="G76" s="109"/>
      <c r="H76" s="2"/>
      <c r="I76" s="109"/>
      <c r="J76" s="2"/>
      <c r="K76" s="2"/>
      <c r="L76" s="2"/>
      <c r="M76" s="2"/>
      <c r="N76" s="20"/>
      <c r="O76" s="20"/>
      <c r="P76" s="20"/>
      <c r="Q76" s="19"/>
    </row>
    <row r="77" spans="1:17" ht="45">
      <c r="A77" s="3"/>
      <c r="B77" s="693"/>
      <c r="C77" s="694"/>
      <c r="D77" s="111" t="s">
        <v>117</v>
      </c>
      <c r="E77" s="112" t="s">
        <v>294</v>
      </c>
      <c r="F77" s="112" t="s">
        <v>118</v>
      </c>
      <c r="G77" s="113" t="s">
        <v>59</v>
      </c>
      <c r="H77" s="301"/>
      <c r="I77" s="302"/>
      <c r="J77" s="15"/>
      <c r="K77" s="2"/>
      <c r="L77" s="2"/>
      <c r="M77" s="2"/>
      <c r="N77" s="20"/>
      <c r="O77" s="20"/>
      <c r="P77" s="20"/>
      <c r="Q77" s="19"/>
    </row>
    <row r="78" spans="1:17" ht="15">
      <c r="A78" s="3"/>
      <c r="B78" s="726" t="s">
        <v>400</v>
      </c>
      <c r="C78" s="727"/>
      <c r="D78" s="253"/>
      <c r="E78" s="253"/>
      <c r="F78" s="253"/>
      <c r="G78" s="115">
        <f>SUM(D78:F78)</f>
        <v>0</v>
      </c>
      <c r="H78" s="284"/>
      <c r="I78" s="300"/>
      <c r="J78" s="300"/>
      <c r="K78" s="2"/>
      <c r="L78" s="2"/>
      <c r="M78" s="2"/>
      <c r="N78" s="20"/>
      <c r="O78" s="20"/>
      <c r="P78" s="20"/>
      <c r="Q78" s="19"/>
    </row>
    <row r="79" spans="1:17" ht="15.75" thickBot="1">
      <c r="A79" s="3"/>
      <c r="B79" s="682" t="s">
        <v>11</v>
      </c>
      <c r="C79" s="683"/>
      <c r="D79" s="254"/>
      <c r="E79" s="254"/>
      <c r="F79" s="254"/>
      <c r="G79" s="117">
        <f>SUM(D79:F79)</f>
        <v>0</v>
      </c>
      <c r="H79" s="284"/>
      <c r="I79" s="15"/>
      <c r="J79" s="15"/>
      <c r="K79" s="2"/>
      <c r="L79" s="2"/>
      <c r="M79" s="2"/>
      <c r="N79" s="19"/>
      <c r="O79" s="19"/>
      <c r="P79" s="19"/>
      <c r="Q79" s="19"/>
    </row>
    <row r="80" spans="1:17" ht="15">
      <c r="A80" s="3"/>
      <c r="B80" s="2"/>
      <c r="C80" s="2"/>
      <c r="D80" s="2"/>
      <c r="E80" s="2"/>
      <c r="F80" s="2"/>
      <c r="G80" s="2"/>
      <c r="H80" s="2"/>
      <c r="I80" s="2"/>
      <c r="J80" s="2"/>
      <c r="K80" s="2"/>
      <c r="L80" s="2"/>
      <c r="M80" s="2"/>
      <c r="N80" s="19"/>
      <c r="O80" s="19"/>
      <c r="P80" s="19"/>
      <c r="Q80" s="19"/>
    </row>
    <row r="81" spans="1:17" ht="15">
      <c r="A81" s="3"/>
      <c r="B81" s="2"/>
      <c r="C81" s="2"/>
      <c r="D81" s="2"/>
      <c r="E81" s="2"/>
      <c r="F81" s="2"/>
      <c r="G81" s="2"/>
      <c r="H81" s="2"/>
      <c r="I81" s="2"/>
      <c r="J81" s="2"/>
      <c r="K81" s="2"/>
      <c r="L81" s="2"/>
      <c r="M81" s="2"/>
      <c r="N81" s="19"/>
      <c r="O81" s="19"/>
      <c r="P81" s="19"/>
      <c r="Q81" s="19"/>
    </row>
    <row r="82" spans="1:17" ht="18.75">
      <c r="A82" s="3"/>
      <c r="B82" s="107" t="s">
        <v>381</v>
      </c>
      <c r="C82" s="2"/>
      <c r="D82" s="2"/>
      <c r="E82" s="2"/>
      <c r="F82" s="2"/>
      <c r="G82" s="2"/>
      <c r="H82" s="2"/>
      <c r="I82" s="2"/>
      <c r="J82" s="2"/>
      <c r="K82" s="2"/>
      <c r="L82" s="2"/>
      <c r="M82" s="2"/>
      <c r="N82" s="19"/>
      <c r="O82" s="19"/>
      <c r="P82" s="19"/>
      <c r="Q82" s="19"/>
    </row>
    <row r="83" spans="1:17" ht="15.75" thickBot="1">
      <c r="A83" s="3"/>
      <c r="B83" s="2"/>
      <c r="C83" s="2"/>
      <c r="D83" s="2"/>
      <c r="E83" s="2"/>
      <c r="F83" s="2"/>
      <c r="G83" s="2"/>
      <c r="H83" s="2"/>
      <c r="I83" s="2"/>
      <c r="J83" s="2"/>
      <c r="K83" s="2"/>
      <c r="L83" s="2"/>
      <c r="M83" s="2"/>
      <c r="N83" s="19"/>
      <c r="O83" s="19"/>
      <c r="P83" s="19"/>
      <c r="Q83" s="19"/>
    </row>
    <row r="84" spans="1:17" ht="15">
      <c r="A84" s="3"/>
      <c r="B84" s="118"/>
      <c r="C84" s="110" t="s">
        <v>64</v>
      </c>
      <c r="D84" s="110" t="s">
        <v>82</v>
      </c>
      <c r="E84" s="119" t="s">
        <v>65</v>
      </c>
      <c r="F84" s="15"/>
      <c r="G84" s="15"/>
      <c r="H84" s="15"/>
      <c r="I84" s="302"/>
      <c r="J84" s="2"/>
      <c r="K84" s="2"/>
      <c r="L84" s="2"/>
      <c r="M84" s="2"/>
      <c r="N84" s="19"/>
      <c r="O84" s="19"/>
      <c r="P84" s="19"/>
      <c r="Q84" s="19"/>
    </row>
    <row r="85" spans="1:17" ht="15.75" thickBot="1">
      <c r="A85" s="3"/>
      <c r="B85" s="120" t="s">
        <v>310</v>
      </c>
      <c r="C85" s="348"/>
      <c r="D85" s="348"/>
      <c r="E85" s="349">
        <f>+C85-D85</f>
        <v>0</v>
      </c>
      <c r="F85" s="465"/>
      <c r="G85" s="267"/>
      <c r="H85" s="15"/>
      <c r="I85" s="300"/>
      <c r="J85" s="2"/>
      <c r="K85" s="2"/>
      <c r="L85" s="2"/>
      <c r="M85" s="2"/>
      <c r="N85" s="19"/>
      <c r="O85" s="19"/>
      <c r="P85" s="19"/>
      <c r="Q85" s="19"/>
    </row>
    <row r="86" spans="1:17" ht="15">
      <c r="A86" s="3"/>
      <c r="B86" s="2"/>
      <c r="C86" s="2"/>
      <c r="D86" s="2"/>
      <c r="E86" s="2"/>
      <c r="F86" s="2"/>
      <c r="G86" s="2"/>
      <c r="H86" s="2"/>
      <c r="I86" s="2"/>
      <c r="J86" s="2"/>
      <c r="K86" s="2"/>
      <c r="L86" s="2"/>
      <c r="M86" s="2"/>
      <c r="N86" s="19"/>
      <c r="O86" s="19"/>
      <c r="P86" s="19"/>
      <c r="Q86" s="19"/>
    </row>
    <row r="87" spans="1:17" ht="18.75">
      <c r="A87" s="3"/>
      <c r="B87" s="107" t="s">
        <v>386</v>
      </c>
      <c r="C87" s="2"/>
      <c r="D87" s="2"/>
      <c r="E87" s="2"/>
      <c r="F87" s="2"/>
      <c r="G87" s="2"/>
      <c r="H87" s="2"/>
      <c r="I87" s="2"/>
      <c r="J87" s="2"/>
      <c r="K87" s="2"/>
      <c r="L87" s="2"/>
      <c r="M87" s="2"/>
      <c r="N87" s="19"/>
      <c r="O87" s="19"/>
      <c r="P87" s="19"/>
      <c r="Q87" s="19"/>
    </row>
    <row r="88" spans="1:17" ht="15.75" thickBot="1">
      <c r="A88" s="3"/>
      <c r="B88" s="2"/>
      <c r="C88" s="2"/>
      <c r="D88" s="2"/>
      <c r="E88" s="2"/>
      <c r="F88" s="2"/>
      <c r="G88" s="2"/>
      <c r="H88" s="2"/>
      <c r="I88" s="2"/>
      <c r="J88" s="2"/>
      <c r="K88" s="2"/>
      <c r="L88" s="2"/>
      <c r="M88" s="2"/>
      <c r="N88" s="19"/>
      <c r="O88" s="19"/>
      <c r="P88" s="19"/>
      <c r="Q88" s="19"/>
    </row>
    <row r="89" spans="1:17" ht="30">
      <c r="A89" s="3"/>
      <c r="B89" s="118"/>
      <c r="C89" s="110" t="s">
        <v>289</v>
      </c>
      <c r="D89" s="110" t="s">
        <v>68</v>
      </c>
      <c r="E89" s="110" t="s">
        <v>83</v>
      </c>
      <c r="F89" s="110" t="s">
        <v>69</v>
      </c>
      <c r="G89" s="149" t="s">
        <v>119</v>
      </c>
      <c r="H89" s="268"/>
      <c r="I89" s="302"/>
      <c r="J89" s="2"/>
      <c r="K89" s="2"/>
      <c r="L89" s="2"/>
      <c r="M89" s="2"/>
      <c r="N89" s="19"/>
      <c r="O89" s="19"/>
      <c r="P89" s="19"/>
      <c r="Q89" s="19"/>
    </row>
    <row r="90" spans="1:17" ht="15.75" thickBot="1">
      <c r="A90" s="3"/>
      <c r="B90" s="120" t="s">
        <v>126</v>
      </c>
      <c r="C90" s="348">
        <v>2</v>
      </c>
      <c r="D90" s="348">
        <v>2</v>
      </c>
      <c r="E90" s="348">
        <v>2</v>
      </c>
      <c r="F90" s="348">
        <v>2</v>
      </c>
      <c r="G90" s="350">
        <v>2</v>
      </c>
      <c r="H90" s="303"/>
      <c r="I90" s="284"/>
      <c r="J90" s="2"/>
      <c r="K90" s="2"/>
      <c r="L90" s="2"/>
      <c r="M90" s="2"/>
      <c r="N90" s="19"/>
      <c r="O90" s="19"/>
      <c r="P90" s="19"/>
      <c r="Q90" s="19"/>
    </row>
    <row r="91" spans="1:17" ht="15">
      <c r="A91" s="3"/>
      <c r="B91" s="2"/>
      <c r="C91" s="2"/>
      <c r="D91" s="2"/>
      <c r="E91" s="2"/>
      <c r="F91" s="2"/>
      <c r="G91" s="2"/>
      <c r="H91" s="2"/>
      <c r="J91" s="2"/>
      <c r="K91" s="2"/>
      <c r="L91" s="2"/>
      <c r="M91" s="2"/>
      <c r="N91" s="19"/>
      <c r="O91" s="19"/>
      <c r="P91" s="19"/>
      <c r="Q91" s="19"/>
    </row>
    <row r="92" spans="1:17" ht="18.75">
      <c r="A92" s="3"/>
      <c r="B92" s="107" t="s">
        <v>382</v>
      </c>
      <c r="C92" s="2"/>
      <c r="D92" s="2"/>
      <c r="E92" s="2"/>
      <c r="F92" s="2"/>
      <c r="G92" s="2"/>
      <c r="H92" s="2"/>
      <c r="I92" s="2"/>
      <c r="J92" s="2"/>
      <c r="K92" s="2"/>
      <c r="L92" s="2"/>
      <c r="M92" s="2"/>
      <c r="N92" s="19"/>
      <c r="O92" s="19"/>
      <c r="P92" s="19"/>
      <c r="Q92" s="19"/>
    </row>
    <row r="93" spans="1:17" ht="15.75" thickBot="1">
      <c r="A93" s="3"/>
      <c r="B93" s="2"/>
      <c r="C93" s="2"/>
      <c r="D93" s="2"/>
      <c r="E93" s="2"/>
      <c r="F93" s="2"/>
      <c r="G93" s="2"/>
      <c r="H93" s="2"/>
      <c r="I93" s="2"/>
      <c r="J93" s="2"/>
      <c r="K93" s="2"/>
      <c r="L93" s="2"/>
      <c r="M93" s="2"/>
      <c r="N93" s="19"/>
      <c r="O93" s="19"/>
      <c r="P93" s="19"/>
      <c r="Q93" s="19"/>
    </row>
    <row r="94" spans="1:18" ht="15">
      <c r="A94" s="3"/>
      <c r="B94" s="118"/>
      <c r="C94" s="121" t="s">
        <v>66</v>
      </c>
      <c r="D94" s="121" t="s">
        <v>67</v>
      </c>
      <c r="E94" s="122" t="s">
        <v>286</v>
      </c>
      <c r="F94" s="2"/>
      <c r="G94" s="2"/>
      <c r="H94" s="2"/>
      <c r="I94" s="2"/>
      <c r="J94" s="19"/>
      <c r="K94" s="19"/>
      <c r="L94" s="19"/>
      <c r="N94"/>
      <c r="O94"/>
      <c r="P94"/>
      <c r="Q94" s="19"/>
      <c r="R94"/>
    </row>
    <row r="95" spans="1:18" ht="15">
      <c r="A95" s="3"/>
      <c r="B95" s="114" t="s">
        <v>387</v>
      </c>
      <c r="C95" s="253">
        <v>4</v>
      </c>
      <c r="D95" s="255">
        <v>2</v>
      </c>
      <c r="E95" s="304">
        <f>C95-D95</f>
        <v>2</v>
      </c>
      <c r="F95" s="2"/>
      <c r="G95" s="2"/>
      <c r="H95" s="2"/>
      <c r="I95" s="2"/>
      <c r="J95" s="19"/>
      <c r="K95" s="19"/>
      <c r="L95" s="19"/>
      <c r="N95"/>
      <c r="O95"/>
      <c r="P95"/>
      <c r="Q95" s="19"/>
      <c r="R95"/>
    </row>
    <row r="96" spans="1:18" ht="15.75" thickBot="1">
      <c r="A96" s="3"/>
      <c r="B96" s="116" t="s">
        <v>388</v>
      </c>
      <c r="C96" s="254">
        <v>2</v>
      </c>
      <c r="D96" s="305">
        <v>0</v>
      </c>
      <c r="E96" s="444">
        <f>C96-D96</f>
        <v>2</v>
      </c>
      <c r="F96" s="2"/>
      <c r="G96" s="2"/>
      <c r="H96" s="2"/>
      <c r="I96" s="2"/>
      <c r="J96" s="19"/>
      <c r="K96" s="19"/>
      <c r="L96" s="19"/>
      <c r="N96"/>
      <c r="O96"/>
      <c r="P96"/>
      <c r="Q96" s="19"/>
      <c r="R96"/>
    </row>
    <row r="97" spans="1:17" ht="15">
      <c r="A97" s="3"/>
      <c r="B97" s="2"/>
      <c r="C97" s="2"/>
      <c r="D97" s="2"/>
      <c r="E97" s="2"/>
      <c r="F97" s="2"/>
      <c r="G97" s="2"/>
      <c r="H97" s="2"/>
      <c r="I97" s="2"/>
      <c r="J97" s="2"/>
      <c r="K97" s="2"/>
      <c r="L97" s="2"/>
      <c r="M97" s="2"/>
      <c r="N97" s="19"/>
      <c r="O97" s="19"/>
      <c r="P97" s="19"/>
      <c r="Q97" s="19"/>
    </row>
    <row r="98" spans="1:17" ht="18.75">
      <c r="A98" s="3"/>
      <c r="B98" s="107" t="s">
        <v>389</v>
      </c>
      <c r="C98" s="2"/>
      <c r="D98" s="2"/>
      <c r="E98" s="2"/>
      <c r="F98" s="2"/>
      <c r="G98" s="2"/>
      <c r="H98" s="2"/>
      <c r="I98" s="2"/>
      <c r="J98" s="2"/>
      <c r="K98" s="2"/>
      <c r="L98" s="2"/>
      <c r="M98" s="2"/>
      <c r="N98" s="19"/>
      <c r="O98" s="19"/>
      <c r="P98" s="19"/>
      <c r="Q98" s="19"/>
    </row>
    <row r="99" spans="1:17" ht="15.75" thickBot="1">
      <c r="A99" s="3"/>
      <c r="B99" s="2"/>
      <c r="C99" s="2"/>
      <c r="D99" s="2"/>
      <c r="E99" s="2"/>
      <c r="F99" s="2"/>
      <c r="G99" s="2"/>
      <c r="H99" s="2"/>
      <c r="I99" s="15"/>
      <c r="J99" s="15"/>
      <c r="K99" s="15"/>
      <c r="L99" s="15"/>
      <c r="M99" s="15"/>
      <c r="N99" s="20"/>
      <c r="O99" s="20"/>
      <c r="P99" s="20"/>
      <c r="Q99" s="20"/>
    </row>
    <row r="100" spans="1:17" ht="15">
      <c r="A100" s="3"/>
      <c r="B100" s="216"/>
      <c r="C100" s="363" t="str">
        <f aca="true" t="shared" si="4" ref="C100:L100">C30</f>
        <v>Q1</v>
      </c>
      <c r="D100" s="363" t="str">
        <f t="shared" si="4"/>
        <v>Q2</v>
      </c>
      <c r="E100" s="363" t="str">
        <f t="shared" si="4"/>
        <v>Q3</v>
      </c>
      <c r="F100" s="363" t="str">
        <f t="shared" si="4"/>
        <v>Q4</v>
      </c>
      <c r="G100" s="363" t="str">
        <f t="shared" si="4"/>
        <v>Q5</v>
      </c>
      <c r="H100" s="363" t="str">
        <f t="shared" si="4"/>
        <v>Q6</v>
      </c>
      <c r="I100" s="363" t="str">
        <f t="shared" si="4"/>
        <v>Q7</v>
      </c>
      <c r="J100" s="363" t="str">
        <f t="shared" si="4"/>
        <v>Q8</v>
      </c>
      <c r="K100" s="467" t="str">
        <f t="shared" si="4"/>
        <v>Q9</v>
      </c>
      <c r="L100" s="474" t="str">
        <f t="shared" si="4"/>
        <v>Q10</v>
      </c>
      <c r="M100" s="471"/>
      <c r="N100" s="471"/>
      <c r="O100" s="471"/>
      <c r="P100" s="471"/>
      <c r="Q100" s="20"/>
    </row>
    <row r="101" spans="1:17" ht="15" customHeight="1">
      <c r="A101" s="3"/>
      <c r="B101" s="364" t="s">
        <v>366</v>
      </c>
      <c r="C101" s="351"/>
      <c r="D101" s="351"/>
      <c r="E101" s="351"/>
      <c r="F101" s="351"/>
      <c r="G101" s="351"/>
      <c r="H101" s="351"/>
      <c r="I101" s="351"/>
      <c r="J101" s="351"/>
      <c r="K101" s="468"/>
      <c r="L101" s="351"/>
      <c r="M101" s="472"/>
      <c r="N101" s="472"/>
      <c r="O101" s="472"/>
      <c r="P101" s="472"/>
      <c r="Q101" s="20"/>
    </row>
    <row r="102" spans="1:17" ht="15" customHeight="1">
      <c r="A102" s="3"/>
      <c r="B102" s="364" t="s">
        <v>363</v>
      </c>
      <c r="C102" s="351"/>
      <c r="D102" s="351"/>
      <c r="E102" s="351"/>
      <c r="F102" s="351"/>
      <c r="G102" s="351"/>
      <c r="H102" s="351"/>
      <c r="I102" s="351"/>
      <c r="J102" s="351"/>
      <c r="K102" s="468"/>
      <c r="L102" s="351"/>
      <c r="M102" s="472"/>
      <c r="N102" s="472"/>
      <c r="O102" s="472"/>
      <c r="P102" s="472"/>
      <c r="Q102" s="20"/>
    </row>
    <row r="103" spans="1:17" ht="15" customHeight="1">
      <c r="A103" s="3"/>
      <c r="B103" s="364" t="s">
        <v>311</v>
      </c>
      <c r="C103" s="351"/>
      <c r="D103" s="351"/>
      <c r="E103" s="351"/>
      <c r="F103" s="351"/>
      <c r="G103" s="351"/>
      <c r="H103" s="351"/>
      <c r="I103" s="351"/>
      <c r="J103" s="351"/>
      <c r="K103" s="468"/>
      <c r="L103" s="351"/>
      <c r="M103" s="472"/>
      <c r="N103" s="472"/>
      <c r="O103" s="472"/>
      <c r="P103" s="472"/>
      <c r="Q103" s="20"/>
    </row>
    <row r="104" spans="1:17" ht="15" customHeight="1">
      <c r="A104" s="3"/>
      <c r="B104" s="307" t="s">
        <v>408</v>
      </c>
      <c r="C104" s="352">
        <f>+C101</f>
        <v>0</v>
      </c>
      <c r="D104" s="352">
        <f aca="true" t="shared" si="5" ref="D104:L104">+C104+D101</f>
        <v>0</v>
      </c>
      <c r="E104" s="352">
        <f>+D104+E101</f>
        <v>0</v>
      </c>
      <c r="F104" s="352">
        <f t="shared" si="5"/>
        <v>0</v>
      </c>
      <c r="G104" s="352">
        <f t="shared" si="5"/>
        <v>0</v>
      </c>
      <c r="H104" s="352">
        <f t="shared" si="5"/>
        <v>0</v>
      </c>
      <c r="I104" s="352">
        <f t="shared" si="5"/>
        <v>0</v>
      </c>
      <c r="J104" s="352">
        <f t="shared" si="5"/>
        <v>0</v>
      </c>
      <c r="K104" s="469">
        <f t="shared" si="5"/>
        <v>0</v>
      </c>
      <c r="L104" s="352">
        <f t="shared" si="5"/>
        <v>0</v>
      </c>
      <c r="M104" s="473"/>
      <c r="N104" s="473"/>
      <c r="O104" s="473"/>
      <c r="P104" s="473"/>
      <c r="Q104" s="20"/>
    </row>
    <row r="105" spans="1:17" ht="15" customHeight="1">
      <c r="A105" s="3"/>
      <c r="B105" s="307" t="s">
        <v>5</v>
      </c>
      <c r="C105" s="352">
        <f>+C102</f>
        <v>0</v>
      </c>
      <c r="D105" s="352">
        <f aca="true" t="shared" si="6" ref="D105:L105">+C105+D102</f>
        <v>0</v>
      </c>
      <c r="E105" s="352">
        <f>+D105+E102</f>
        <v>0</v>
      </c>
      <c r="F105" s="352">
        <f t="shared" si="6"/>
        <v>0</v>
      </c>
      <c r="G105" s="352">
        <f t="shared" si="6"/>
        <v>0</v>
      </c>
      <c r="H105" s="352">
        <f t="shared" si="6"/>
        <v>0</v>
      </c>
      <c r="I105" s="352">
        <f t="shared" si="6"/>
        <v>0</v>
      </c>
      <c r="J105" s="352">
        <f t="shared" si="6"/>
        <v>0</v>
      </c>
      <c r="K105" s="469">
        <f t="shared" si="6"/>
        <v>0</v>
      </c>
      <c r="L105" s="352">
        <f t="shared" si="6"/>
        <v>0</v>
      </c>
      <c r="M105" s="473"/>
      <c r="N105" s="473"/>
      <c r="O105" s="473"/>
      <c r="P105" s="473"/>
      <c r="Q105" s="20"/>
    </row>
    <row r="106" spans="1:17" ht="15.75" thickBot="1">
      <c r="A106" s="3"/>
      <c r="B106" s="441" t="s">
        <v>6</v>
      </c>
      <c r="C106" s="442">
        <f>+C103</f>
        <v>0</v>
      </c>
      <c r="D106" s="443">
        <f aca="true" t="shared" si="7" ref="D106:L106">+C106+D103</f>
        <v>0</v>
      </c>
      <c r="E106" s="443">
        <f>+D106+E103</f>
        <v>0</v>
      </c>
      <c r="F106" s="443">
        <f t="shared" si="7"/>
        <v>0</v>
      </c>
      <c r="G106" s="443">
        <f t="shared" si="7"/>
        <v>0</v>
      </c>
      <c r="H106" s="443">
        <f t="shared" si="7"/>
        <v>0</v>
      </c>
      <c r="I106" s="443">
        <f t="shared" si="7"/>
        <v>0</v>
      </c>
      <c r="J106" s="443">
        <f t="shared" si="7"/>
        <v>0</v>
      </c>
      <c r="K106" s="470">
        <f t="shared" si="7"/>
        <v>0</v>
      </c>
      <c r="L106" s="352">
        <f t="shared" si="7"/>
        <v>0</v>
      </c>
      <c r="M106" s="473"/>
      <c r="N106" s="473"/>
      <c r="O106" s="473"/>
      <c r="P106" s="473"/>
      <c r="Q106" s="20"/>
    </row>
    <row r="107" spans="1:17" ht="15">
      <c r="A107" s="3"/>
      <c r="B107" s="3"/>
      <c r="C107" s="2"/>
      <c r="D107" s="2"/>
      <c r="E107" s="2"/>
      <c r="F107" s="2"/>
      <c r="G107" s="2"/>
      <c r="H107" s="2"/>
      <c r="I107" s="15"/>
      <c r="J107" s="123"/>
      <c r="K107" s="124"/>
      <c r="L107" s="15"/>
      <c r="M107" s="125"/>
      <c r="N107" s="20"/>
      <c r="O107" s="20"/>
      <c r="P107" s="20"/>
      <c r="Q107" s="20"/>
    </row>
    <row r="108" spans="1:17" ht="15">
      <c r="A108" s="3"/>
      <c r="B108" s="2" t="s">
        <v>402</v>
      </c>
      <c r="C108" s="2"/>
      <c r="D108" s="2"/>
      <c r="E108" s="2"/>
      <c r="F108" s="2"/>
      <c r="G108" s="2"/>
      <c r="H108" s="2"/>
      <c r="I108" s="15"/>
      <c r="J108" s="123"/>
      <c r="K108" s="124"/>
      <c r="L108" s="15"/>
      <c r="M108" s="125"/>
      <c r="N108" s="20"/>
      <c r="O108" s="20"/>
      <c r="P108" s="20"/>
      <c r="Q108" s="20"/>
    </row>
    <row r="109" spans="1:17" ht="15">
      <c r="A109" s="3"/>
      <c r="C109" s="2"/>
      <c r="D109" s="2"/>
      <c r="E109" s="2"/>
      <c r="F109" s="2"/>
      <c r="G109" s="2"/>
      <c r="H109" s="2"/>
      <c r="I109" s="15"/>
      <c r="J109" s="123"/>
      <c r="K109" s="125"/>
      <c r="L109" s="15"/>
      <c r="M109" s="125"/>
      <c r="N109" s="20"/>
      <c r="O109" s="20"/>
      <c r="P109" s="20"/>
      <c r="Q109" s="20"/>
    </row>
    <row r="110" spans="1:17" ht="15">
      <c r="A110" s="3"/>
      <c r="B110" s="3"/>
      <c r="C110" s="3"/>
      <c r="D110" s="3"/>
      <c r="E110" s="3"/>
      <c r="F110" s="3"/>
      <c r="G110" s="3"/>
      <c r="H110" s="3"/>
      <c r="I110" s="15"/>
      <c r="J110" s="15"/>
      <c r="K110" s="15"/>
      <c r="L110" s="15"/>
      <c r="M110" s="15"/>
      <c r="N110" s="20"/>
      <c r="O110" s="20"/>
      <c r="P110" s="20"/>
      <c r="Q110" s="20"/>
    </row>
    <row r="111" spans="1:17" ht="18.75">
      <c r="A111" s="3"/>
      <c r="B111" s="107" t="s">
        <v>383</v>
      </c>
      <c r="C111" s="3"/>
      <c r="D111" s="3"/>
      <c r="E111" s="3"/>
      <c r="F111" s="3"/>
      <c r="G111" s="3"/>
      <c r="H111" s="3"/>
      <c r="I111" s="15"/>
      <c r="J111" s="15"/>
      <c r="K111" s="15"/>
      <c r="L111" s="15"/>
      <c r="M111" s="15"/>
      <c r="N111" s="20"/>
      <c r="O111" s="20"/>
      <c r="P111" s="20"/>
      <c r="Q111" s="20"/>
    </row>
    <row r="112" spans="1:17" ht="15.75" thickBot="1">
      <c r="A112" s="3"/>
      <c r="B112" s="3"/>
      <c r="C112" s="15"/>
      <c r="D112" s="15"/>
      <c r="E112" s="15"/>
      <c r="F112" s="15"/>
      <c r="G112" s="2"/>
      <c r="H112" s="2"/>
      <c r="I112" s="2"/>
      <c r="J112" s="15"/>
      <c r="K112" s="2"/>
      <c r="L112" s="15"/>
      <c r="M112" s="15"/>
      <c r="N112" s="20"/>
      <c r="O112" s="20"/>
      <c r="P112" s="20"/>
      <c r="Q112" s="20"/>
    </row>
    <row r="113" spans="1:17" ht="90.75" customHeight="1">
      <c r="A113" s="3"/>
      <c r="B113" s="308" t="s">
        <v>33</v>
      </c>
      <c r="C113" s="309" t="s">
        <v>80</v>
      </c>
      <c r="D113" s="311" t="s">
        <v>365</v>
      </c>
      <c r="E113" s="311" t="s">
        <v>334</v>
      </c>
      <c r="F113" s="310" t="s">
        <v>335</v>
      </c>
      <c r="G113" s="310" t="s">
        <v>336</v>
      </c>
      <c r="H113" s="311" t="s">
        <v>337</v>
      </c>
      <c r="I113" s="311" t="s">
        <v>338</v>
      </c>
      <c r="J113" s="311" t="s">
        <v>339</v>
      </c>
      <c r="K113" s="312" t="s">
        <v>340</v>
      </c>
      <c r="L113" s="2"/>
      <c r="M113" s="20"/>
      <c r="N113" s="20"/>
      <c r="O113" s="20"/>
      <c r="P113" s="20"/>
      <c r="Q113" s="20"/>
    </row>
    <row r="114" spans="1:17" ht="15">
      <c r="A114" s="3"/>
      <c r="B114" s="708" t="s">
        <v>28</v>
      </c>
      <c r="C114" s="388" t="s">
        <v>371</v>
      </c>
      <c r="D114" s="389"/>
      <c r="E114" s="390">
        <f>IF(ISBLANK(D114),"",D114*30)</f>
      </c>
      <c r="F114" s="353"/>
      <c r="G114" s="354">
        <f>IF(AND(E114&gt;0,F114&gt;0),(F114*E114),"")</f>
      </c>
      <c r="H114" s="353"/>
      <c r="I114" s="404">
        <f>IF(AND(G114&gt;0,H114&gt;0),H114/G114,"")</f>
      </c>
      <c r="J114" s="391"/>
      <c r="K114" s="445">
        <f>IF(AND(I114&gt;0,J114&gt;0),I114-J114,"")</f>
      </c>
      <c r="L114" s="2"/>
      <c r="M114" s="20"/>
      <c r="N114" s="20"/>
      <c r="O114" s="20"/>
      <c r="P114" s="20"/>
      <c r="Q114" s="20"/>
    </row>
    <row r="115" spans="1:17" ht="15">
      <c r="A115" s="3"/>
      <c r="B115" s="709"/>
      <c r="C115" s="388" t="s">
        <v>371</v>
      </c>
      <c r="D115" s="389"/>
      <c r="E115" s="390">
        <f>IF(ISBLANK(D115),"",D115*30)</f>
      </c>
      <c r="F115" s="353"/>
      <c r="G115" s="354">
        <f>IF(AND(E115&gt;0,F115&gt;0),(F115*E115),"")</f>
      </c>
      <c r="H115" s="353"/>
      <c r="I115" s="404">
        <f>IF(AND(G115&gt;0,H115&gt;0),H115/G115,"")</f>
      </c>
      <c r="J115" s="391"/>
      <c r="K115" s="445">
        <f>IF(AND(I115&gt;0,J115&gt;0),I115-J115,"")</f>
      </c>
      <c r="L115" s="2"/>
      <c r="M115" s="20"/>
      <c r="N115" s="20"/>
      <c r="O115" s="20"/>
      <c r="P115" s="20"/>
      <c r="Q115" s="20"/>
    </row>
    <row r="116" spans="1:17" ht="15">
      <c r="A116" s="3"/>
      <c r="B116" s="709"/>
      <c r="C116" s="388" t="s">
        <v>371</v>
      </c>
      <c r="D116" s="389"/>
      <c r="E116" s="390">
        <f>IF(ISBLANK(D116),"",D116*30)</f>
      </c>
      <c r="F116" s="353"/>
      <c r="G116" s="354">
        <f>IF(AND(E116&gt;0,F116&gt;0),(F116*E116),"")</f>
      </c>
      <c r="H116" s="353"/>
      <c r="I116" s="404">
        <f>IF(AND(G116&gt;0,H116&gt;0),H116/G116,"")</f>
      </c>
      <c r="J116" s="391"/>
      <c r="K116" s="445">
        <f>IF(AND(I116&gt;0,J116&gt;0),I116-J116,"")</f>
      </c>
      <c r="L116" s="2"/>
      <c r="M116" s="20"/>
      <c r="N116" s="20"/>
      <c r="O116" s="20"/>
      <c r="P116" s="20"/>
      <c r="Q116" s="20"/>
    </row>
    <row r="117" spans="1:17" ht="15.75" thickBot="1">
      <c r="A117" s="3"/>
      <c r="B117" s="710"/>
      <c r="C117" s="392" t="s">
        <v>371</v>
      </c>
      <c r="D117" s="393"/>
      <c r="E117" s="438">
        <f>IF(ISBLANK(D117),"",D117*30)</f>
      </c>
      <c r="F117" s="355"/>
      <c r="G117" s="439">
        <f>IF(AND(E117&gt;0,F117&gt;0),(F117*E117),"")</f>
      </c>
      <c r="H117" s="355"/>
      <c r="I117" s="440">
        <f>IF(AND(G117&gt;0,H117&gt;0),H117/G117,"")</f>
      </c>
      <c r="J117" s="394"/>
      <c r="K117" s="446">
        <f>IF(AND(I117&gt;0,J117&gt;0),I117-J117,"")</f>
      </c>
      <c r="L117" s="2"/>
      <c r="M117" s="20"/>
      <c r="N117" s="20"/>
      <c r="O117" s="20"/>
      <c r="P117" s="20"/>
      <c r="Q117" s="20"/>
    </row>
    <row r="118" spans="1:17" ht="15">
      <c r="A118" s="3"/>
      <c r="B118" s="3"/>
      <c r="C118" s="3"/>
      <c r="D118" s="3"/>
      <c r="E118" s="3"/>
      <c r="F118" s="3"/>
      <c r="G118" s="2"/>
      <c r="H118" s="2"/>
      <c r="I118" s="2"/>
      <c r="J118" s="3"/>
      <c r="K118" s="3"/>
      <c r="L118" s="2"/>
      <c r="M118" s="2"/>
      <c r="N118" s="20"/>
      <c r="O118" s="20"/>
      <c r="P118" s="20"/>
      <c r="Q118" s="20"/>
    </row>
    <row r="119" spans="1:13" ht="15">
      <c r="A119" s="3"/>
      <c r="B119" s="3"/>
      <c r="C119" s="3"/>
      <c r="D119" s="3"/>
      <c r="E119" s="3"/>
      <c r="F119" s="3"/>
      <c r="G119" s="3"/>
      <c r="H119" s="3"/>
      <c r="I119" s="2"/>
      <c r="J119" s="106"/>
      <c r="K119" s="106"/>
      <c r="L119" s="3"/>
      <c r="M119" s="3"/>
    </row>
    <row r="120" spans="1:17" ht="19.5" thickBot="1">
      <c r="A120" s="3"/>
      <c r="B120" s="235" t="s">
        <v>390</v>
      </c>
      <c r="C120" s="126"/>
      <c r="D120" s="126"/>
      <c r="E120" s="127"/>
      <c r="F120" s="127"/>
      <c r="G120" s="127"/>
      <c r="H120" s="250"/>
      <c r="I120" s="236"/>
      <c r="J120" s="329"/>
      <c r="K120" s="330" t="s">
        <v>369</v>
      </c>
      <c r="L120" s="127"/>
      <c r="M120" s="331"/>
      <c r="N120" s="332"/>
      <c r="O120" s="332"/>
      <c r="P120" s="332"/>
      <c r="Q120" s="332"/>
    </row>
    <row r="121" spans="1:17" ht="15.75" thickBot="1">
      <c r="A121" s="3"/>
      <c r="B121" s="3"/>
      <c r="C121" s="3"/>
      <c r="D121" s="3"/>
      <c r="E121" s="3"/>
      <c r="F121" s="3"/>
      <c r="G121" s="3"/>
      <c r="H121" s="3" t="str">
        <f aca="true" t="shared" si="8" ref="H121:Q121">C28</f>
        <v>July - Sep 2015</v>
      </c>
      <c r="I121" s="3" t="str">
        <f t="shared" si="8"/>
        <v>Oct -Dec 2015</v>
      </c>
      <c r="J121" s="3" t="str">
        <f t="shared" si="8"/>
        <v>Jan-Mar 2016</v>
      </c>
      <c r="K121" s="3" t="str">
        <f t="shared" si="8"/>
        <v>Apr-Jun 2016</v>
      </c>
      <c r="L121" s="3" t="str">
        <f t="shared" si="8"/>
        <v>July - Sep 2016</v>
      </c>
      <c r="M121" s="3" t="str">
        <f t="shared" si="8"/>
        <v>Oct -Dec 2016</v>
      </c>
      <c r="N121" s="3" t="str">
        <f t="shared" si="8"/>
        <v>Jan-Mar 2017</v>
      </c>
      <c r="O121" s="3" t="str">
        <f t="shared" si="8"/>
        <v>Apr-Jun 2017</v>
      </c>
      <c r="P121" s="3" t="str">
        <f t="shared" si="8"/>
        <v>July - Sep 2017</v>
      </c>
      <c r="Q121" s="3" t="str">
        <f t="shared" si="8"/>
        <v>Oct -Dec 2017</v>
      </c>
    </row>
    <row r="122" spans="1:17" ht="15">
      <c r="A122" s="3"/>
      <c r="B122" s="732" t="s">
        <v>396</v>
      </c>
      <c r="C122" s="733"/>
      <c r="D122" s="734"/>
      <c r="E122" s="315" t="s">
        <v>325</v>
      </c>
      <c r="F122" s="273" t="s">
        <v>342</v>
      </c>
      <c r="G122" s="240"/>
      <c r="H122" s="378" t="str">
        <f aca="true" t="shared" si="9" ref="H122:Q122">C30</f>
        <v>Q1</v>
      </c>
      <c r="I122" s="378" t="str">
        <f t="shared" si="9"/>
        <v>Q2</v>
      </c>
      <c r="J122" s="378" t="str">
        <f t="shared" si="9"/>
        <v>Q3</v>
      </c>
      <c r="K122" s="378" t="str">
        <f t="shared" si="9"/>
        <v>Q4</v>
      </c>
      <c r="L122" s="378" t="str">
        <f t="shared" si="9"/>
        <v>Q5</v>
      </c>
      <c r="M122" s="378" t="str">
        <f t="shared" si="9"/>
        <v>Q6</v>
      </c>
      <c r="N122" s="378" t="str">
        <f t="shared" si="9"/>
        <v>Q7</v>
      </c>
      <c r="O122" s="378" t="str">
        <f t="shared" si="9"/>
        <v>Q8</v>
      </c>
      <c r="P122" s="378" t="str">
        <f t="shared" si="9"/>
        <v>Q9</v>
      </c>
      <c r="Q122" s="378" t="str">
        <f t="shared" si="9"/>
        <v>Q10</v>
      </c>
    </row>
    <row r="123" spans="1:17" ht="1.5" customHeight="1">
      <c r="A123" s="3"/>
      <c r="B123" s="420"/>
      <c r="C123" s="421"/>
      <c r="D123" s="421"/>
      <c r="E123" s="422"/>
      <c r="F123" s="423"/>
      <c r="G123" s="424"/>
      <c r="H123" s="425"/>
      <c r="I123" s="425"/>
      <c r="J123" s="425"/>
      <c r="K123" s="425"/>
      <c r="L123" s="425"/>
      <c r="M123" s="425"/>
      <c r="N123" s="425"/>
      <c r="O123" s="425"/>
      <c r="P123" s="425"/>
      <c r="Q123" s="425"/>
    </row>
    <row r="124" spans="1:17" ht="15" customHeight="1">
      <c r="A124" s="728" t="s">
        <v>373</v>
      </c>
      <c r="B124" s="686" t="s">
        <v>465</v>
      </c>
      <c r="C124" s="687"/>
      <c r="D124" s="688"/>
      <c r="E124" s="651"/>
      <c r="F124" s="674"/>
      <c r="G124" s="241" t="s">
        <v>86</v>
      </c>
      <c r="H124" s="433">
        <v>4123</v>
      </c>
      <c r="I124" s="433">
        <f>8247-H124</f>
        <v>4124</v>
      </c>
      <c r="J124" s="433"/>
      <c r="K124" s="433"/>
      <c r="L124" s="130"/>
      <c r="M124" s="130"/>
      <c r="N124" s="130"/>
      <c r="O124" s="130"/>
      <c r="P124" s="432"/>
      <c r="Q124" s="130"/>
    </row>
    <row r="125" spans="1:17" ht="15">
      <c r="A125" s="728"/>
      <c r="B125" s="686"/>
      <c r="C125" s="687"/>
      <c r="D125" s="688"/>
      <c r="E125" s="651"/>
      <c r="F125" s="675"/>
      <c r="G125" s="241" t="s">
        <v>87</v>
      </c>
      <c r="H125" s="314">
        <v>0</v>
      </c>
      <c r="I125" s="270">
        <v>7430</v>
      </c>
      <c r="J125" s="270"/>
      <c r="K125" s="270"/>
      <c r="L125" s="130"/>
      <c r="M125" s="130"/>
      <c r="N125" s="130"/>
      <c r="O125" s="130"/>
      <c r="P125" s="432"/>
      <c r="Q125" s="130"/>
    </row>
    <row r="126" spans="1:17" ht="15" customHeight="1">
      <c r="A126" s="728"/>
      <c r="B126" s="686" t="s">
        <v>466</v>
      </c>
      <c r="C126" s="687"/>
      <c r="D126" s="688"/>
      <c r="E126" s="645"/>
      <c r="F126" s="676"/>
      <c r="G126" s="430" t="s">
        <v>86</v>
      </c>
      <c r="H126" s="314">
        <v>2057</v>
      </c>
      <c r="I126" s="270">
        <v>2058</v>
      </c>
      <c r="J126" s="270"/>
      <c r="K126" s="270"/>
      <c r="L126" s="237"/>
      <c r="M126" s="237"/>
      <c r="N126" s="237"/>
      <c r="O126" s="237"/>
      <c r="P126" s="237"/>
      <c r="Q126" s="237"/>
    </row>
    <row r="127" spans="1:17" ht="15">
      <c r="A127" s="728"/>
      <c r="B127" s="686"/>
      <c r="C127" s="687"/>
      <c r="D127" s="688"/>
      <c r="E127" s="645"/>
      <c r="F127" s="677"/>
      <c r="G127" s="430" t="s">
        <v>87</v>
      </c>
      <c r="H127" s="269">
        <v>0</v>
      </c>
      <c r="I127" s="269">
        <v>2054</v>
      </c>
      <c r="J127" s="269"/>
      <c r="K127" s="269"/>
      <c r="L127" s="313"/>
      <c r="M127" s="313"/>
      <c r="N127" s="313"/>
      <c r="O127" s="313"/>
      <c r="P127" s="237"/>
      <c r="Q127" s="237"/>
    </row>
    <row r="128" spans="1:17" ht="15" customHeight="1">
      <c r="A128" s="728"/>
      <c r="B128" s="686" t="s">
        <v>467</v>
      </c>
      <c r="C128" s="687"/>
      <c r="D128" s="688"/>
      <c r="E128" s="651"/>
      <c r="F128" s="691"/>
      <c r="G128" s="241" t="s">
        <v>86</v>
      </c>
      <c r="H128" s="314">
        <v>3471</v>
      </c>
      <c r="I128" s="314">
        <v>3471</v>
      </c>
      <c r="J128" s="314"/>
      <c r="K128" s="314"/>
      <c r="L128" s="130"/>
      <c r="M128" s="130"/>
      <c r="N128" s="130"/>
      <c r="O128" s="130"/>
      <c r="P128" s="432"/>
      <c r="Q128" s="130"/>
    </row>
    <row r="129" spans="1:17" ht="15">
      <c r="A129" s="728"/>
      <c r="B129" s="686"/>
      <c r="C129" s="687"/>
      <c r="D129" s="688"/>
      <c r="E129" s="651"/>
      <c r="F129" s="692"/>
      <c r="G129" s="241" t="s">
        <v>87</v>
      </c>
      <c r="H129" s="314">
        <v>659</v>
      </c>
      <c r="I129" s="314">
        <v>1322</v>
      </c>
      <c r="J129" s="314"/>
      <c r="K129" s="270"/>
      <c r="L129" s="130"/>
      <c r="M129" s="130"/>
      <c r="N129" s="130"/>
      <c r="O129" s="130"/>
      <c r="P129" s="432"/>
      <c r="Q129" s="130"/>
    </row>
    <row r="130" spans="1:17" ht="15" customHeight="1">
      <c r="A130" s="3"/>
      <c r="B130" s="686" t="s">
        <v>468</v>
      </c>
      <c r="C130" s="687"/>
      <c r="D130" s="688"/>
      <c r="E130" s="645"/>
      <c r="F130" s="684"/>
      <c r="G130" s="430" t="s">
        <v>86</v>
      </c>
      <c r="H130" s="314">
        <v>1243</v>
      </c>
      <c r="I130" s="270">
        <v>1244</v>
      </c>
      <c r="J130" s="270"/>
      <c r="K130" s="270"/>
      <c r="L130" s="237"/>
      <c r="M130" s="237"/>
      <c r="N130" s="237"/>
      <c r="O130" s="237"/>
      <c r="P130" s="237"/>
      <c r="Q130" s="237"/>
    </row>
    <row r="131" spans="1:17" ht="15">
      <c r="A131" s="3"/>
      <c r="B131" s="686"/>
      <c r="C131" s="687"/>
      <c r="D131" s="688"/>
      <c r="E131" s="645"/>
      <c r="F131" s="677"/>
      <c r="G131" s="430" t="s">
        <v>87</v>
      </c>
      <c r="H131" s="433">
        <v>0</v>
      </c>
      <c r="I131" s="433">
        <v>210</v>
      </c>
      <c r="J131" s="433"/>
      <c r="K131" s="433"/>
      <c r="L131" s="237"/>
      <c r="M131" s="237"/>
      <c r="N131" s="237"/>
      <c r="O131" s="237"/>
      <c r="P131" s="237"/>
      <c r="Q131" s="237"/>
    </row>
    <row r="132" spans="1:17" ht="15" customHeight="1">
      <c r="A132" s="3"/>
      <c r="B132" s="633" t="s">
        <v>462</v>
      </c>
      <c r="C132" s="634"/>
      <c r="D132" s="635"/>
      <c r="E132" s="651"/>
      <c r="F132" s="691"/>
      <c r="G132" s="431" t="s">
        <v>86</v>
      </c>
      <c r="H132" s="433">
        <v>1508</v>
      </c>
      <c r="I132" s="433">
        <v>1508</v>
      </c>
      <c r="J132" s="433"/>
      <c r="K132" s="433"/>
      <c r="L132" s="432"/>
      <c r="M132" s="432"/>
      <c r="N132" s="432"/>
      <c r="O132" s="432"/>
      <c r="P132" s="432"/>
      <c r="Q132" s="432"/>
    </row>
    <row r="133" spans="1:17" ht="15">
      <c r="A133" s="3"/>
      <c r="B133" s="636"/>
      <c r="C133" s="637"/>
      <c r="D133" s="638"/>
      <c r="E133" s="651"/>
      <c r="F133" s="692"/>
      <c r="G133" s="431" t="s">
        <v>87</v>
      </c>
      <c r="H133" s="433">
        <v>0</v>
      </c>
      <c r="I133" s="433">
        <v>0</v>
      </c>
      <c r="J133" s="433"/>
      <c r="K133" s="433"/>
      <c r="L133" s="432"/>
      <c r="M133" s="432"/>
      <c r="N133" s="432"/>
      <c r="O133" s="432"/>
      <c r="P133" s="432"/>
      <c r="Q133" s="432"/>
    </row>
    <row r="134" spans="1:17" ht="15" customHeight="1">
      <c r="A134" s="3"/>
      <c r="B134" s="633" t="s">
        <v>463</v>
      </c>
      <c r="C134" s="634"/>
      <c r="D134" s="635"/>
      <c r="E134" s="645"/>
      <c r="F134" s="684"/>
      <c r="G134" s="430" t="s">
        <v>86</v>
      </c>
      <c r="H134" s="314">
        <v>442</v>
      </c>
      <c r="I134" s="314">
        <v>441</v>
      </c>
      <c r="J134" s="314"/>
      <c r="K134" s="314"/>
      <c r="L134" s="313"/>
      <c r="M134" s="313"/>
      <c r="N134" s="313"/>
      <c r="O134" s="313"/>
      <c r="P134" s="237"/>
      <c r="Q134" s="313"/>
    </row>
    <row r="135" spans="1:17" ht="15">
      <c r="A135" s="3"/>
      <c r="B135" s="636"/>
      <c r="C135" s="637"/>
      <c r="D135" s="638"/>
      <c r="E135" s="645"/>
      <c r="F135" s="677"/>
      <c r="G135" s="430" t="s">
        <v>87</v>
      </c>
      <c r="H135" s="313">
        <v>0</v>
      </c>
      <c r="I135" s="237">
        <v>0</v>
      </c>
      <c r="J135" s="237"/>
      <c r="K135" s="270"/>
      <c r="L135" s="237"/>
      <c r="M135" s="237"/>
      <c r="N135" s="237"/>
      <c r="O135" s="237"/>
      <c r="P135" s="237"/>
      <c r="Q135" s="313"/>
    </row>
    <row r="136" spans="1:17" ht="14.25" customHeight="1">
      <c r="A136" s="3"/>
      <c r="B136" s="633" t="s">
        <v>461</v>
      </c>
      <c r="C136" s="634"/>
      <c r="D136" s="635"/>
      <c r="E136" s="651"/>
      <c r="F136" s="652"/>
      <c r="G136" s="431" t="s">
        <v>86</v>
      </c>
      <c r="H136" s="432">
        <v>500</v>
      </c>
      <c r="I136" s="432">
        <v>500</v>
      </c>
      <c r="J136" s="432"/>
      <c r="K136" s="432"/>
      <c r="L136" s="432"/>
      <c r="M136" s="432"/>
      <c r="N136" s="432"/>
      <c r="O136" s="432"/>
      <c r="P136" s="432"/>
      <c r="Q136" s="432"/>
    </row>
    <row r="137" spans="1:17" ht="15">
      <c r="A137" s="3"/>
      <c r="B137" s="636"/>
      <c r="C137" s="637"/>
      <c r="D137" s="638"/>
      <c r="E137" s="651"/>
      <c r="F137" s="652"/>
      <c r="G137" s="431" t="s">
        <v>87</v>
      </c>
      <c r="H137" s="432">
        <v>1134</v>
      </c>
      <c r="I137" s="432">
        <v>65</v>
      </c>
      <c r="J137" s="432"/>
      <c r="K137" s="432"/>
      <c r="L137" s="432"/>
      <c r="M137" s="432"/>
      <c r="N137" s="432"/>
      <c r="O137" s="432"/>
      <c r="P137" s="432"/>
      <c r="Q137" s="432"/>
    </row>
    <row r="138" spans="1:17" ht="15">
      <c r="A138" s="3"/>
      <c r="B138" s="633" t="s">
        <v>464</v>
      </c>
      <c r="C138" s="634"/>
      <c r="D138" s="635"/>
      <c r="E138" s="645"/>
      <c r="F138" s="631"/>
      <c r="G138" s="431" t="s">
        <v>86</v>
      </c>
      <c r="H138" s="314">
        <v>79</v>
      </c>
      <c r="I138" s="314">
        <v>79</v>
      </c>
      <c r="J138" s="314"/>
      <c r="K138" s="314"/>
      <c r="L138" s="432"/>
      <c r="M138" s="432"/>
      <c r="N138" s="432"/>
      <c r="O138" s="432"/>
      <c r="P138" s="432"/>
      <c r="Q138" s="432"/>
    </row>
    <row r="139" spans="1:17" ht="15">
      <c r="A139" s="3"/>
      <c r="B139" s="636"/>
      <c r="C139" s="637"/>
      <c r="D139" s="638"/>
      <c r="E139" s="645"/>
      <c r="F139" s="632"/>
      <c r="G139" s="431" t="s">
        <v>87</v>
      </c>
      <c r="H139" s="314">
        <v>0</v>
      </c>
      <c r="I139" s="314">
        <v>40</v>
      </c>
      <c r="J139" s="314"/>
      <c r="K139" s="314"/>
      <c r="L139" s="432"/>
      <c r="M139" s="432"/>
      <c r="N139" s="432"/>
      <c r="O139" s="432"/>
      <c r="P139" s="432"/>
      <c r="Q139" s="432"/>
    </row>
    <row r="140" spans="1:17" ht="15">
      <c r="A140" s="3"/>
      <c r="B140" s="633" t="s">
        <v>469</v>
      </c>
      <c r="C140" s="634"/>
      <c r="D140" s="635"/>
      <c r="E140" s="646"/>
      <c r="F140" s="631"/>
      <c r="G140" s="431" t="s">
        <v>86</v>
      </c>
      <c r="H140" s="433">
        <v>11</v>
      </c>
      <c r="I140" s="433">
        <v>11</v>
      </c>
      <c r="J140" s="433"/>
      <c r="K140" s="433"/>
      <c r="L140" s="432"/>
      <c r="M140" s="432"/>
      <c r="N140" s="432"/>
      <c r="O140" s="432"/>
      <c r="P140" s="432"/>
      <c r="Q140" s="432"/>
    </row>
    <row r="141" spans="1:17" ht="15">
      <c r="A141" s="3"/>
      <c r="B141" s="636"/>
      <c r="C141" s="637"/>
      <c r="D141" s="638"/>
      <c r="E141" s="647"/>
      <c r="F141" s="632"/>
      <c r="G141" s="431" t="s">
        <v>87</v>
      </c>
      <c r="H141" s="433">
        <v>0</v>
      </c>
      <c r="I141" s="433">
        <v>11</v>
      </c>
      <c r="J141" s="433"/>
      <c r="K141" s="433"/>
      <c r="L141" s="432"/>
      <c r="M141" s="432"/>
      <c r="N141" s="432"/>
      <c r="O141" s="432"/>
      <c r="P141" s="432"/>
      <c r="Q141" s="432"/>
    </row>
    <row r="142" spans="1:17" ht="15">
      <c r="A142" s="3"/>
      <c r="B142" s="639" t="s">
        <v>470</v>
      </c>
      <c r="C142" s="640"/>
      <c r="D142" s="641"/>
      <c r="E142" s="645"/>
      <c r="F142" s="631"/>
      <c r="G142" s="431" t="s">
        <v>86</v>
      </c>
      <c r="H142" s="433">
        <v>11</v>
      </c>
      <c r="I142" s="433">
        <v>11</v>
      </c>
      <c r="J142" s="433"/>
      <c r="K142" s="433"/>
      <c r="L142" s="432"/>
      <c r="M142" s="432"/>
      <c r="N142" s="432"/>
      <c r="O142" s="432"/>
      <c r="P142" s="432"/>
      <c r="Q142" s="432"/>
    </row>
    <row r="143" spans="1:17" ht="15.75" thickBot="1">
      <c r="A143" s="3"/>
      <c r="B143" s="642"/>
      <c r="C143" s="643"/>
      <c r="D143" s="644"/>
      <c r="E143" s="645"/>
      <c r="F143" s="632"/>
      <c r="G143" s="431" t="s">
        <v>87</v>
      </c>
      <c r="H143" s="482">
        <v>0</v>
      </c>
      <c r="I143" s="482">
        <v>0</v>
      </c>
      <c r="J143" s="482"/>
      <c r="K143" s="482"/>
      <c r="L143" s="432"/>
      <c r="M143" s="432"/>
      <c r="N143" s="432"/>
      <c r="O143" s="432"/>
      <c r="P143" s="432"/>
      <c r="Q143" s="432"/>
    </row>
    <row r="144" spans="1:17" ht="14.25" customHeight="1">
      <c r="A144" s="3"/>
      <c r="B144" s="664"/>
      <c r="C144" s="665"/>
      <c r="D144" s="666"/>
      <c r="E144" s="645"/>
      <c r="F144" s="654"/>
      <c r="G144" s="430"/>
      <c r="H144" s="313"/>
      <c r="I144" s="313"/>
      <c r="J144" s="313"/>
      <c r="K144" s="313"/>
      <c r="L144" s="313"/>
      <c r="M144" s="313"/>
      <c r="N144" s="313"/>
      <c r="O144" s="313"/>
      <c r="P144" s="313"/>
      <c r="Q144" s="313"/>
    </row>
    <row r="145" spans="1:17" ht="15.75" thickBot="1">
      <c r="A145" s="3"/>
      <c r="B145" s="667"/>
      <c r="C145" s="668"/>
      <c r="D145" s="669"/>
      <c r="E145" s="653"/>
      <c r="F145" s="655"/>
      <c r="G145" s="434"/>
      <c r="H145" s="435"/>
      <c r="I145" s="435"/>
      <c r="J145" s="435"/>
      <c r="K145" s="435"/>
      <c r="L145" s="435"/>
      <c r="M145" s="435"/>
      <c r="N145" s="435"/>
      <c r="O145" s="435"/>
      <c r="P145" s="435"/>
      <c r="Q145" s="435"/>
    </row>
    <row r="146" spans="1:17" ht="15">
      <c r="A146" s="3"/>
      <c r="B146" s="3"/>
      <c r="C146" s="3"/>
      <c r="D146" s="3"/>
      <c r="E146" s="3"/>
      <c r="F146" s="3"/>
      <c r="G146" s="2"/>
      <c r="H146" s="3"/>
      <c r="I146" s="3"/>
      <c r="J146" s="3"/>
      <c r="K146" s="3"/>
      <c r="L146" s="3"/>
      <c r="M146" s="3"/>
      <c r="N146" s="3"/>
      <c r="O146" s="3"/>
      <c r="P146" s="3"/>
      <c r="Q146" s="3"/>
    </row>
    <row r="147" spans="1:17" ht="15">
      <c r="A147" s="3"/>
      <c r="B147" s="3"/>
      <c r="C147" s="3"/>
      <c r="D147" s="3"/>
      <c r="E147" s="3"/>
      <c r="F147" s="3"/>
      <c r="G147" s="2"/>
      <c r="H147" s="3"/>
      <c r="I147" s="3"/>
      <c r="J147" s="3"/>
      <c r="K147" s="3"/>
      <c r="L147" s="3"/>
      <c r="M147" s="3"/>
      <c r="N147" s="3"/>
      <c r="O147" s="3"/>
      <c r="P147" s="3"/>
      <c r="Q147" s="3"/>
    </row>
    <row r="148" spans="1:17" ht="15">
      <c r="A148" s="3"/>
      <c r="B148" s="3"/>
      <c r="C148" s="3"/>
      <c r="D148" s="3"/>
      <c r="E148" s="3"/>
      <c r="F148" s="3"/>
      <c r="G148" s="2"/>
      <c r="H148" s="3"/>
      <c r="I148" s="3"/>
      <c r="J148" s="3"/>
      <c r="K148" s="3"/>
      <c r="L148" s="3"/>
      <c r="M148" s="3"/>
      <c r="N148" s="3"/>
      <c r="O148" s="3"/>
      <c r="P148" s="3"/>
      <c r="Q148" s="3"/>
    </row>
    <row r="149" spans="1:17" ht="16.5" thickBot="1">
      <c r="A149" s="3"/>
      <c r="B149" s="317"/>
      <c r="C149" s="3"/>
      <c r="D149" s="3"/>
      <c r="E149" s="3"/>
      <c r="F149" s="3"/>
      <c r="G149" s="2"/>
      <c r="H149" s="3"/>
      <c r="I149" s="3"/>
      <c r="J149" s="3"/>
      <c r="K149" s="3"/>
      <c r="L149" s="3"/>
      <c r="M149" s="3"/>
      <c r="N149" s="3"/>
      <c r="O149" s="3"/>
      <c r="P149" s="3"/>
      <c r="Q149" s="3"/>
    </row>
    <row r="150" spans="1:17" ht="15.75" thickBot="1">
      <c r="A150" s="3"/>
      <c r="B150" s="3" t="s">
        <v>403</v>
      </c>
      <c r="C150" s="3"/>
      <c r="D150" s="3"/>
      <c r="E150" s="315" t="s">
        <v>325</v>
      </c>
      <c r="F150" s="273" t="s">
        <v>342</v>
      </c>
      <c r="G150" s="240"/>
      <c r="H150" s="378" t="str">
        <f aca="true" t="shared" si="10" ref="H150:Q150">C30</f>
        <v>Q1</v>
      </c>
      <c r="I150" s="378" t="str">
        <f t="shared" si="10"/>
        <v>Q2</v>
      </c>
      <c r="J150" s="378" t="str">
        <f t="shared" si="10"/>
        <v>Q3</v>
      </c>
      <c r="K150" s="378" t="str">
        <f t="shared" si="10"/>
        <v>Q4</v>
      </c>
      <c r="L150" s="378" t="str">
        <f t="shared" si="10"/>
        <v>Q5</v>
      </c>
      <c r="M150" s="378" t="str">
        <f t="shared" si="10"/>
        <v>Q6</v>
      </c>
      <c r="N150" s="378" t="str">
        <f t="shared" si="10"/>
        <v>Q7</v>
      </c>
      <c r="O150" s="378" t="str">
        <f t="shared" si="10"/>
        <v>Q8</v>
      </c>
      <c r="P150" s="378" t="str">
        <f t="shared" si="10"/>
        <v>Q9</v>
      </c>
      <c r="Q150" s="378" t="str">
        <f t="shared" si="10"/>
        <v>Q10</v>
      </c>
    </row>
    <row r="151" spans="1:17" ht="15">
      <c r="A151" s="3"/>
      <c r="B151" s="697" t="str">
        <f>IF(ISBLANK(B124),"",(B124))</f>
        <v>Pr1.  # of FSW reached with HIV prevention programs -defined package of service</v>
      </c>
      <c r="C151" s="698"/>
      <c r="D151" s="699"/>
      <c r="E151" s="656">
        <f>IF(ISBLANK(E124),"",(E124))</f>
      </c>
      <c r="F151" s="649">
        <f>IF(ISBLANK(F124),"",(F124))</f>
      </c>
      <c r="G151" s="343" t="s">
        <v>86</v>
      </c>
      <c r="H151" s="402">
        <f aca="true" t="shared" si="11" ref="H151:N151">H124</f>
        <v>4123</v>
      </c>
      <c r="I151" s="402">
        <f t="shared" si="11"/>
        <v>4124</v>
      </c>
      <c r="J151" s="402">
        <f t="shared" si="11"/>
        <v>0</v>
      </c>
      <c r="K151" s="402">
        <f t="shared" si="11"/>
        <v>0</v>
      </c>
      <c r="L151" s="402">
        <f t="shared" si="11"/>
        <v>0</v>
      </c>
      <c r="M151" s="402">
        <f t="shared" si="11"/>
        <v>0</v>
      </c>
      <c r="N151" s="402">
        <f t="shared" si="11"/>
        <v>0</v>
      </c>
      <c r="O151" s="402">
        <f aca="true" t="shared" si="12" ref="O151:Q156">O124</f>
        <v>0</v>
      </c>
      <c r="P151" s="402">
        <f t="shared" si="12"/>
        <v>0</v>
      </c>
      <c r="Q151" s="402">
        <f t="shared" si="12"/>
        <v>0</v>
      </c>
    </row>
    <row r="152" spans="1:17" ht="15">
      <c r="A152" s="3"/>
      <c r="B152" s="700"/>
      <c r="C152" s="701"/>
      <c r="D152" s="702"/>
      <c r="E152" s="656"/>
      <c r="F152" s="649"/>
      <c r="G152" s="128" t="s">
        <v>87</v>
      </c>
      <c r="H152" s="402">
        <f>H125</f>
        <v>0</v>
      </c>
      <c r="I152" s="402"/>
      <c r="J152" s="402"/>
      <c r="K152" s="402"/>
      <c r="L152" s="402"/>
      <c r="M152" s="402"/>
      <c r="N152" s="402"/>
      <c r="O152" s="402">
        <f t="shared" si="12"/>
        <v>0</v>
      </c>
      <c r="P152" s="402">
        <f t="shared" si="12"/>
        <v>0</v>
      </c>
      <c r="Q152" s="402">
        <f t="shared" si="12"/>
        <v>0</v>
      </c>
    </row>
    <row r="153" spans="1:17" ht="15">
      <c r="A153" s="3"/>
      <c r="B153" s="703" t="str">
        <f>IF(ISBLANK(B126),"",(B126))</f>
        <v>Pr2. #  of FSW that have received an HIV test during the reporting period and know their results</v>
      </c>
      <c r="C153" s="704"/>
      <c r="D153" s="705"/>
      <c r="E153" s="670">
        <f>IF(ISBLANK(E126),"",(E126))</f>
      </c>
      <c r="F153" s="657">
        <f>IF(ISBLANK(F126),"",(F126))</f>
      </c>
      <c r="G153" s="436" t="s">
        <v>86</v>
      </c>
      <c r="H153" s="437">
        <f>H126</f>
        <v>2057</v>
      </c>
      <c r="I153" s="437">
        <f aca="true" t="shared" si="13" ref="I153:N153">I126</f>
        <v>2058</v>
      </c>
      <c r="J153" s="437">
        <f t="shared" si="13"/>
        <v>0</v>
      </c>
      <c r="K153" s="437">
        <f t="shared" si="13"/>
        <v>0</v>
      </c>
      <c r="L153" s="437">
        <f t="shared" si="13"/>
        <v>0</v>
      </c>
      <c r="M153" s="437">
        <f t="shared" si="13"/>
        <v>0</v>
      </c>
      <c r="N153" s="437">
        <f t="shared" si="13"/>
        <v>0</v>
      </c>
      <c r="O153" s="437">
        <f t="shared" si="12"/>
        <v>0</v>
      </c>
      <c r="P153" s="437">
        <f t="shared" si="12"/>
        <v>0</v>
      </c>
      <c r="Q153" s="437">
        <f t="shared" si="12"/>
        <v>0</v>
      </c>
    </row>
    <row r="154" spans="1:17" ht="15">
      <c r="A154" s="3"/>
      <c r="B154" s="703"/>
      <c r="C154" s="704"/>
      <c r="D154" s="705"/>
      <c r="E154" s="670"/>
      <c r="F154" s="657"/>
      <c r="G154" s="436" t="s">
        <v>87</v>
      </c>
      <c r="H154" s="437">
        <f>H127</f>
        <v>0</v>
      </c>
      <c r="I154" s="437"/>
      <c r="J154" s="437"/>
      <c r="K154" s="437"/>
      <c r="L154" s="437"/>
      <c r="M154" s="437"/>
      <c r="N154" s="437"/>
      <c r="O154" s="437">
        <f t="shared" si="12"/>
        <v>0</v>
      </c>
      <c r="P154" s="437">
        <f t="shared" si="12"/>
        <v>0</v>
      </c>
      <c r="Q154" s="437">
        <f t="shared" si="12"/>
        <v>0</v>
      </c>
    </row>
    <row r="155" spans="1:17" ht="15">
      <c r="A155" s="3"/>
      <c r="B155" s="658" t="str">
        <f>IF(ISBLANK(B128),"",(B128))</f>
        <v>Pr3.  # of MSM reached with HIV prevention programs - defined package of service</v>
      </c>
      <c r="C155" s="659"/>
      <c r="D155" s="660"/>
      <c r="E155" s="656">
        <f>IF(ISBLANK(E128),"",(E128))</f>
      </c>
      <c r="F155" s="649">
        <f>IF(ISBLANK(F128),"",(F128))</f>
      </c>
      <c r="G155" s="128" t="s">
        <v>86</v>
      </c>
      <c r="H155" s="402">
        <f>H128</f>
        <v>3471</v>
      </c>
      <c r="I155" s="402">
        <f aca="true" t="shared" si="14" ref="I155:N155">I128</f>
        <v>3471</v>
      </c>
      <c r="J155" s="402">
        <f t="shared" si="14"/>
        <v>0</v>
      </c>
      <c r="K155" s="402">
        <f t="shared" si="14"/>
        <v>0</v>
      </c>
      <c r="L155" s="402">
        <f t="shared" si="14"/>
        <v>0</v>
      </c>
      <c r="M155" s="402">
        <f t="shared" si="14"/>
        <v>0</v>
      </c>
      <c r="N155" s="402">
        <f t="shared" si="14"/>
        <v>0</v>
      </c>
      <c r="O155" s="402">
        <f t="shared" si="12"/>
        <v>0</v>
      </c>
      <c r="P155" s="402">
        <f t="shared" si="12"/>
        <v>0</v>
      </c>
      <c r="Q155" s="402">
        <f t="shared" si="12"/>
        <v>0</v>
      </c>
    </row>
    <row r="156" spans="1:17" ht="15.75" thickBot="1">
      <c r="A156" s="3"/>
      <c r="B156" s="661"/>
      <c r="C156" s="662"/>
      <c r="D156" s="663"/>
      <c r="E156" s="685"/>
      <c r="F156" s="650"/>
      <c r="G156" s="129" t="s">
        <v>87</v>
      </c>
      <c r="H156" s="403">
        <f>H129</f>
        <v>659</v>
      </c>
      <c r="I156" s="403"/>
      <c r="J156" s="403"/>
      <c r="K156" s="403"/>
      <c r="L156" s="403"/>
      <c r="M156" s="403"/>
      <c r="N156" s="403"/>
      <c r="O156" s="403">
        <f t="shared" si="12"/>
        <v>0</v>
      </c>
      <c r="P156" s="403">
        <f t="shared" si="12"/>
        <v>0</v>
      </c>
      <c r="Q156" s="403">
        <f t="shared" si="12"/>
        <v>0</v>
      </c>
    </row>
    <row r="157" spans="1:17" ht="15">
      <c r="A157" s="3"/>
      <c r="B157" s="3"/>
      <c r="C157" s="3"/>
      <c r="D157" s="3"/>
      <c r="E157" s="3"/>
      <c r="F157" s="3"/>
      <c r="G157" s="3"/>
      <c r="H157" s="3"/>
      <c r="I157" s="3"/>
      <c r="J157" s="3"/>
      <c r="K157" s="3"/>
      <c r="L157" s="3"/>
      <c r="M157" s="3"/>
      <c r="N157"/>
      <c r="O157"/>
      <c r="P157"/>
      <c r="Q157"/>
    </row>
    <row r="158" spans="14:17" ht="15">
      <c r="N158"/>
      <c r="O158"/>
      <c r="P158"/>
      <c r="Q158"/>
    </row>
    <row r="159" spans="14:17" ht="15">
      <c r="N159"/>
      <c r="O159"/>
      <c r="P159"/>
      <c r="Q159"/>
    </row>
    <row r="160" spans="14:17" ht="15">
      <c r="N160"/>
      <c r="O160"/>
      <c r="P160"/>
      <c r="Q160"/>
    </row>
  </sheetData>
  <sheetProtection/>
  <mergeCells count="77">
    <mergeCell ref="B78:C78"/>
    <mergeCell ref="A124:A129"/>
    <mergeCell ref="B124:D125"/>
    <mergeCell ref="B66:D66"/>
    <mergeCell ref="F128:F129"/>
    <mergeCell ref="B126:D127"/>
    <mergeCell ref="B128:D129"/>
    <mergeCell ref="E128:E129"/>
    <mergeCell ref="B122:D122"/>
    <mergeCell ref="B2:J2"/>
    <mergeCell ref="C4:D4"/>
    <mergeCell ref="E4:F4"/>
    <mergeCell ref="G4:J4"/>
    <mergeCell ref="H16:I16"/>
    <mergeCell ref="D24:E24"/>
    <mergeCell ref="G24:H24"/>
    <mergeCell ref="E6:F6"/>
    <mergeCell ref="C8:D8"/>
    <mergeCell ref="B14:J14"/>
    <mergeCell ref="B29:P29"/>
    <mergeCell ref="I6:J6"/>
    <mergeCell ref="G12:J12"/>
    <mergeCell ref="G10:J10"/>
    <mergeCell ref="B18:C18"/>
    <mergeCell ref="E10:F10"/>
    <mergeCell ref="I8:J8"/>
    <mergeCell ref="C10:D10"/>
    <mergeCell ref="E12:F12"/>
    <mergeCell ref="C6:D6"/>
    <mergeCell ref="B151:D152"/>
    <mergeCell ref="B153:D154"/>
    <mergeCell ref="B134:D135"/>
    <mergeCell ref="B136:D137"/>
    <mergeCell ref="B132:D133"/>
    <mergeCell ref="I24:J24"/>
    <mergeCell ref="B114:B117"/>
    <mergeCell ref="F134:F135"/>
    <mergeCell ref="E130:E131"/>
    <mergeCell ref="E134:E135"/>
    <mergeCell ref="B21:J21"/>
    <mergeCell ref="B79:C79"/>
    <mergeCell ref="F130:F131"/>
    <mergeCell ref="E155:E156"/>
    <mergeCell ref="B130:D131"/>
    <mergeCell ref="C12:D12"/>
    <mergeCell ref="D18:F18"/>
    <mergeCell ref="F132:F133"/>
    <mergeCell ref="B77:C77"/>
    <mergeCell ref="B26:C26"/>
    <mergeCell ref="B155:D156"/>
    <mergeCell ref="B144:D145"/>
    <mergeCell ref="E153:E154"/>
    <mergeCell ref="E132:E133"/>
    <mergeCell ref="M31:M34"/>
    <mergeCell ref="E124:E125"/>
    <mergeCell ref="F124:F125"/>
    <mergeCell ref="F126:F127"/>
    <mergeCell ref="E126:E127"/>
    <mergeCell ref="F44:I44"/>
    <mergeCell ref="L38:L43"/>
    <mergeCell ref="F155:F156"/>
    <mergeCell ref="E136:E137"/>
    <mergeCell ref="F136:F137"/>
    <mergeCell ref="E144:E145"/>
    <mergeCell ref="F144:F145"/>
    <mergeCell ref="E151:E152"/>
    <mergeCell ref="F151:F152"/>
    <mergeCell ref="F153:F154"/>
    <mergeCell ref="F138:F139"/>
    <mergeCell ref="F140:F141"/>
    <mergeCell ref="F142:F143"/>
    <mergeCell ref="B138:D139"/>
    <mergeCell ref="B140:D141"/>
    <mergeCell ref="B142:D143"/>
    <mergeCell ref="E138:E139"/>
    <mergeCell ref="E142:E143"/>
    <mergeCell ref="E140:E141"/>
  </mergeCells>
  <conditionalFormatting sqref="B34 B32 C33:L33">
    <cfRule type="expression" priority="12" dxfId="46" stopIfTrue="1">
      <formula>+AND(B31&gt;=#REF!,B31&lt;=#REF!)</formula>
    </cfRule>
  </conditionalFormatting>
  <conditionalFormatting sqref="C30:L30 C100:N100">
    <cfRule type="cellIs" priority="16" dxfId="47" operator="equal" stopIfTrue="1">
      <formula>$C$16</formula>
    </cfRule>
  </conditionalFormatting>
  <conditionalFormatting sqref="C12:D12">
    <cfRule type="cellIs" priority="18" dxfId="48" operator="equal" stopIfTrue="1">
      <formula>"C"</formula>
    </cfRule>
    <cfRule type="cellIs" priority="19" dxfId="49" operator="equal" stopIfTrue="1">
      <formula>"B2"</formula>
    </cfRule>
    <cfRule type="cellIs" priority="20" dxfId="50" operator="equal" stopIfTrue="1">
      <formula>"B1"</formula>
    </cfRule>
  </conditionalFormatting>
  <conditionalFormatting sqref="H150:Q150 H122:Q123">
    <cfRule type="cellIs" priority="27" dxfId="51" operator="equal" stopIfTrue="1">
      <formula>$C$16</formula>
    </cfRule>
  </conditionalFormatting>
  <conditionalFormatting sqref="F44:I44">
    <cfRule type="expression" priority="6" dxfId="6" stopIfTrue="1">
      <formula>LEFT($F$44,2)="OK"</formula>
    </cfRule>
  </conditionalFormatting>
  <conditionalFormatting sqref="O100:P100">
    <cfRule type="cellIs" priority="1" dxfId="47" operator="equal" stopIfTrue="1">
      <formula>$C$16</formula>
    </cfRule>
  </conditionalFormatting>
  <dataValidations count="9">
    <dataValidation type="list" allowBlank="1" showInputMessage="1" showErrorMessage="1" sqref="B114 G6">
      <formula1>Component</formula1>
    </dataValidation>
    <dataValidation type="list" allowBlank="1" showInputMessage="1" showErrorMessage="1" sqref="C16">
      <formula1>PERIOD2</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14:C117">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54" max="255" man="1"/>
  </rowBreaks>
  <ignoredErrors>
    <ignoredError sqref="E151 H150:N150"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4">
      <selection activeCell="D11" sqref="D11"/>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66"/>
      <c r="H1" s="2"/>
      <c r="I1" s="2"/>
      <c r="J1" s="2"/>
    </row>
    <row r="2" ht="25.5" customHeight="1"/>
    <row r="3" spans="2:20" ht="36">
      <c r="B3" s="740" t="str">
        <f>+"Dashboard: "&amp;" "&amp;+IF('Data Entry'!C4="Please Select","",'Data Entry'!C4&amp;" - ")&amp;+IF('Data Entry'!G6="Please Select","",'Data Entry'!G6)</f>
        <v>Dashboard:  Ghana - HIV / AIDS</v>
      </c>
      <c r="C3" s="740"/>
      <c r="D3" s="740"/>
      <c r="E3" s="740"/>
      <c r="F3" s="740"/>
      <c r="G3" s="740"/>
      <c r="H3" s="740"/>
      <c r="I3" s="740"/>
      <c r="J3" s="740"/>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0" t="s">
        <v>26</v>
      </c>
      <c r="B6" s="741" t="str">
        <f>+IF('Data Entry'!C4="Please Select","",'Data Entry'!C4)</f>
        <v>Ghana</v>
      </c>
      <c r="C6" s="741"/>
      <c r="D6" s="744" t="s">
        <v>12</v>
      </c>
      <c r="E6" s="744"/>
      <c r="F6" s="745" t="str">
        <f>+'Data Entry'!G4</f>
        <v>Reinforcing the Scaling Up of HIV Services: Strengthening HIV
Prevention and Effective Targeting</v>
      </c>
      <c r="G6" s="745"/>
      <c r="H6" s="745"/>
      <c r="I6" s="745"/>
      <c r="J6" s="745"/>
      <c r="K6" s="49"/>
      <c r="L6" s="81"/>
      <c r="M6" s="49"/>
      <c r="N6" s="49"/>
      <c r="O6" s="49"/>
      <c r="P6" s="50"/>
      <c r="Q6" s="17"/>
      <c r="R6" s="17"/>
      <c r="S6" s="17"/>
      <c r="T6" s="17"/>
      <c r="U6" s="17"/>
    </row>
    <row r="7" spans="2:21" ht="8.25" customHeight="1">
      <c r="B7" s="6"/>
      <c r="C7" s="7"/>
      <c r="D7" s="7"/>
      <c r="E7" s="8"/>
      <c r="F7" s="8"/>
      <c r="G7" s="9"/>
      <c r="H7" s="9"/>
      <c r="K7" s="49"/>
      <c r="L7" s="49"/>
      <c r="M7" s="49"/>
      <c r="N7" s="49"/>
      <c r="O7" s="49"/>
      <c r="P7" s="50"/>
      <c r="Q7" s="17"/>
      <c r="R7" s="17"/>
      <c r="S7" s="17"/>
      <c r="T7" s="17"/>
      <c r="U7" s="17"/>
    </row>
    <row r="8" spans="3:21" ht="3.75" customHeight="1">
      <c r="C8" s="10"/>
      <c r="D8" s="10"/>
      <c r="E8" s="10"/>
      <c r="F8" s="10"/>
      <c r="G8" s="10"/>
      <c r="H8" s="10"/>
      <c r="I8" s="10"/>
      <c r="J8" s="10"/>
      <c r="K8" s="49"/>
      <c r="L8" s="49"/>
      <c r="M8" s="49"/>
      <c r="N8" s="49"/>
      <c r="O8" s="51"/>
      <c r="P8" s="50"/>
      <c r="Q8" s="51"/>
      <c r="R8" s="52"/>
      <c r="S8" s="17"/>
      <c r="T8" s="17"/>
      <c r="U8" s="17"/>
    </row>
    <row r="9" spans="1:24" ht="25.5" customHeight="1">
      <c r="A9" s="368" t="s">
        <v>27</v>
      </c>
      <c r="B9" s="334" t="str">
        <f>+IF('Data Entry'!G6="Please Select","",'Data Entry'!G6)</f>
        <v>HIV / AIDS</v>
      </c>
      <c r="C9" s="221" t="s">
        <v>326</v>
      </c>
      <c r="D9" s="335" t="str">
        <f>+'Data Entry'!C6</f>
        <v>GHA-H-GAC-786</v>
      </c>
      <c r="E9" s="743" t="s">
        <v>13</v>
      </c>
      <c r="F9" s="743"/>
      <c r="G9" s="336">
        <f>+IF(ISBLANK('Data Entry'!C10),"",'Data Entry'!C10)</f>
        <v>42186</v>
      </c>
      <c r="H9" s="368" t="s">
        <v>327</v>
      </c>
      <c r="I9" s="742">
        <f>+IF(ISBLANK('Data Entry'!I6),"",'Data Entry'!I6)</f>
        <v>12905454</v>
      </c>
      <c r="J9" s="742"/>
      <c r="K9" s="49"/>
      <c r="L9" s="49"/>
      <c r="M9" s="49"/>
      <c r="N9" s="49"/>
      <c r="O9" s="51"/>
      <c r="P9" s="50"/>
      <c r="Q9" s="51"/>
      <c r="R9" s="52"/>
      <c r="S9" s="17"/>
      <c r="T9" s="11"/>
      <c r="U9" s="11"/>
      <c r="V9" s="10"/>
      <c r="W9" s="10"/>
      <c r="X9" s="10"/>
    </row>
    <row r="10" spans="1:21" ht="25.5" customHeight="1">
      <c r="A10" s="368" t="s">
        <v>321</v>
      </c>
      <c r="B10" s="337">
        <f>+IF('Data Entry'!G8="Please Select","",'Data Entry'!G8)</f>
      </c>
      <c r="C10" s="221" t="s">
        <v>320</v>
      </c>
      <c r="D10" s="338" t="str">
        <f>+IF('Data Entry'!I8="Please Select","",'Data Entry'!I8)</f>
        <v>NFM</v>
      </c>
      <c r="E10" s="736" t="s">
        <v>267</v>
      </c>
      <c r="F10" s="736"/>
      <c r="G10" s="735" t="str">
        <f>+'Data Entry'!C8</f>
        <v>Ghana AIDS Commission</v>
      </c>
      <c r="H10" s="735"/>
      <c r="I10" s="735"/>
      <c r="J10" s="735"/>
      <c r="K10" s="53"/>
      <c r="L10" s="53"/>
      <c r="M10" s="49"/>
      <c r="N10" s="53"/>
      <c r="O10" s="51"/>
      <c r="P10" s="50"/>
      <c r="Q10" s="11"/>
      <c r="R10" s="52"/>
      <c r="S10" s="17"/>
      <c r="T10" s="11"/>
      <c r="U10" s="11"/>
    </row>
    <row r="11" spans="1:21" ht="25.5" customHeight="1">
      <c r="A11" s="368" t="s">
        <v>21</v>
      </c>
      <c r="B11" s="339" t="str">
        <f>+'Data Entry'!C16</f>
        <v>Q2</v>
      </c>
      <c r="C11" s="320" t="s">
        <v>265</v>
      </c>
      <c r="D11" s="340">
        <f>+IF(ISBLANK('Data Entry'!E16),"",'Data Entry'!E16)</f>
        <v>42278</v>
      </c>
      <c r="E11" s="743" t="s">
        <v>22</v>
      </c>
      <c r="F11" s="743"/>
      <c r="G11" s="340">
        <f>+IF(ISBLANK('Data Entry'!G16),"",'Data Entry'!G16)</f>
        <v>42369</v>
      </c>
      <c r="H11" s="368" t="s">
        <v>29</v>
      </c>
      <c r="I11" s="737" t="str">
        <f>+IF('Data Entry'!C12="Please Select","",'Data Entry'!C12)</f>
        <v>A1</v>
      </c>
      <c r="J11" s="737"/>
      <c r="K11" s="265"/>
      <c r="L11" s="53"/>
      <c r="M11" s="49"/>
      <c r="N11" s="53"/>
      <c r="O11" s="53"/>
      <c r="P11" s="50"/>
      <c r="Q11" s="11"/>
      <c r="R11" s="52"/>
      <c r="S11" s="17"/>
      <c r="T11" s="12"/>
      <c r="U11" s="11"/>
    </row>
    <row r="12" spans="1:24" ht="25.5" customHeight="1">
      <c r="A12" s="368" t="s">
        <v>31</v>
      </c>
      <c r="B12" s="735" t="str">
        <f>+IF('Data Entry'!G10="Please Select","",'Data Entry'!G10)</f>
        <v>PwC (PricewaterhouseCoopers)</v>
      </c>
      <c r="C12" s="735"/>
      <c r="D12" s="735"/>
      <c r="E12" s="736" t="s">
        <v>287</v>
      </c>
      <c r="F12" s="736"/>
      <c r="G12" s="735" t="str">
        <f>+'Data Entry'!G12</f>
        <v>Mark Saalfeld</v>
      </c>
      <c r="H12" s="735"/>
      <c r="I12" s="735"/>
      <c r="J12" s="735"/>
      <c r="K12" s="53"/>
      <c r="L12" s="53"/>
      <c r="M12" s="49"/>
      <c r="N12" s="53"/>
      <c r="O12" s="17"/>
      <c r="P12" s="50"/>
      <c r="Q12" s="11"/>
      <c r="R12" s="52"/>
      <c r="S12" s="17"/>
      <c r="T12" s="11"/>
      <c r="U12" s="54"/>
      <c r="V12" s="11"/>
      <c r="W12" s="12"/>
      <c r="X12" s="11"/>
    </row>
    <row r="13" spans="1:21" ht="25.5" customHeight="1">
      <c r="A13" s="368" t="s">
        <v>32</v>
      </c>
      <c r="B13" s="735" t="str">
        <f>+'Data Entry'!D18</f>
        <v>GAC Core Team</v>
      </c>
      <c r="C13" s="735"/>
      <c r="D13" s="735"/>
      <c r="E13" s="736" t="s">
        <v>30</v>
      </c>
      <c r="F13" s="736"/>
      <c r="G13" s="738">
        <f>+IF(ISBLANK('Data Entry'!J16),"",'Data Entry'!J16)</f>
        <v>42050</v>
      </c>
      <c r="H13" s="739"/>
      <c r="I13" s="739"/>
      <c r="J13" s="739"/>
      <c r="K13" s="17"/>
      <c r="L13" s="18"/>
      <c r="M13" s="18"/>
      <c r="N13" s="18"/>
      <c r="O13" s="17"/>
      <c r="P13" s="18"/>
      <c r="Q13" s="18"/>
      <c r="R13" s="52"/>
      <c r="S13" s="17"/>
      <c r="T13" s="18"/>
      <c r="U13" s="55"/>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29"/>
      <c r="D16" s="16"/>
      <c r="E16" s="369"/>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160" zoomScaleNormal="160" zoomScalePageLayoutView="0" workbookViewId="0" topLeftCell="C20">
      <selection activeCell="L12" sqref="L12"/>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81" t="str">
        <f>+"Dashboard:  "&amp;"  "&amp;IF(+'Data Entry'!C4="Please Select","",'Data Entry'!C4&amp;" - ")&amp;IF('Data Entry'!G6="Please Select","",'Data Entry'!G6)</f>
        <v>Dashboard:    Ghana - HIV / AIDS</v>
      </c>
      <c r="C2" s="681"/>
      <c r="D2" s="681"/>
      <c r="E2" s="681"/>
      <c r="F2" s="681"/>
      <c r="G2" s="681"/>
      <c r="H2" s="681"/>
      <c r="I2" s="681"/>
      <c r="J2" s="681"/>
      <c r="K2" s="681"/>
      <c r="L2" s="1"/>
      <c r="M2" s="1"/>
      <c r="N2" s="1"/>
      <c r="O2" s="1"/>
    </row>
    <row r="3" spans="2:12" ht="15">
      <c r="B3" s="131">
        <f>+IF('Data Entry'!G8="Please Select","",'Data Entry'!G8)</f>
      </c>
      <c r="C3" s="754" t="str">
        <f>+IF('Data Entry'!I8="Please Select","",'Data Entry'!I8)</f>
        <v>NFM</v>
      </c>
      <c r="D3" s="754"/>
      <c r="E3" s="753"/>
      <c r="F3" s="753"/>
      <c r="G3" s="753"/>
      <c r="H3" s="753"/>
      <c r="I3" s="751" t="str">
        <f>+'Data Entry'!B16</f>
        <v>Report Period:</v>
      </c>
      <c r="J3" s="751"/>
      <c r="K3" s="197" t="str">
        <f>+'Data Entry'!C16</f>
        <v>Q2</v>
      </c>
      <c r="L3" s="82"/>
    </row>
    <row r="4" spans="2:11" ht="15">
      <c r="B4" s="131" t="str">
        <f>+'Data Entry'!B12</f>
        <v>Latest Rating:</v>
      </c>
      <c r="C4" s="755" t="str">
        <f>+IF('Data Entry'!C12="Please Select","",'Data Entry'!C12)</f>
        <v>A1</v>
      </c>
      <c r="D4" s="755"/>
      <c r="E4" s="753" t="str">
        <f>+'Data Entry'!C8</f>
        <v>Ghana AIDS Commission</v>
      </c>
      <c r="F4" s="753"/>
      <c r="G4" s="753"/>
      <c r="H4" s="753"/>
      <c r="I4" s="751" t="str">
        <f>+'Data Entry'!D16</f>
        <v>From:</v>
      </c>
      <c r="J4" s="752"/>
      <c r="K4" s="199">
        <f>+IF(ISBLANK('Data Entry'!E16),"",'Data Entry'!E16)</f>
        <v>42278</v>
      </c>
    </row>
    <row r="5" spans="2:11" ht="18.75" customHeight="1">
      <c r="B5" s="131"/>
      <c r="C5" s="131"/>
      <c r="D5" s="750" t="str">
        <f>+'Data Entry'!G4</f>
        <v>Reinforcing the Scaling Up of HIV Services: Strengthening HIV
Prevention and Effective Targeting</v>
      </c>
      <c r="E5" s="750"/>
      <c r="F5" s="750"/>
      <c r="G5" s="750"/>
      <c r="H5" s="750"/>
      <c r="I5" s="750"/>
      <c r="J5" s="131" t="str">
        <f>+'Data Entry'!F16</f>
        <v>To:</v>
      </c>
      <c r="K5" s="199">
        <f>+IF(ISBLANK('Data Entry'!G16),"",'Data Entry'!G16)</f>
        <v>42369</v>
      </c>
    </row>
    <row r="6" spans="2:11" ht="18.75">
      <c r="B6" s="135"/>
      <c r="C6" s="131"/>
      <c r="D6" s="132"/>
      <c r="E6" s="756" t="s">
        <v>63</v>
      </c>
      <c r="F6" s="756"/>
      <c r="G6" s="756"/>
      <c r="H6" s="756"/>
      <c r="I6" s="3"/>
      <c r="J6" s="3"/>
      <c r="K6" s="3"/>
    </row>
    <row r="7" spans="2:11" ht="10.5" customHeight="1">
      <c r="B7" s="136"/>
      <c r="C7" s="137"/>
      <c r="D7" s="138"/>
      <c r="E7" s="139"/>
      <c r="F7" s="139"/>
      <c r="G7" s="140"/>
      <c r="H7" s="140"/>
      <c r="I7" s="134"/>
      <c r="J7" s="134"/>
      <c r="K7" s="133"/>
    </row>
    <row r="8" spans="2:11" ht="15">
      <c r="B8" s="202" t="str">
        <f>+'Data Entry'!B27&amp;" - in ("&amp;'Data Entry'!D26&amp;")         "&amp;+I3&amp;" "&amp;+K3</f>
        <v>F1: Budget and disbursements by Global Fund - in ($)         Report Period: Q2</v>
      </c>
      <c r="C8" s="141"/>
      <c r="D8" s="2"/>
      <c r="E8" s="2"/>
      <c r="F8" s="2"/>
      <c r="H8" s="202" t="str">
        <f>+'Data Entry'!B55&amp;" - in ("&amp;'Data Entry'!D26&amp;")         "&amp;+I3&amp;" "&amp;+K3</f>
        <v>F3: Disbursements and expenditures - in ($)         Report Period: Q2</v>
      </c>
      <c r="I8" s="3"/>
      <c r="J8" s="3"/>
      <c r="K8" s="3"/>
    </row>
    <row r="9" spans="2:11" ht="15">
      <c r="B9" s="344" t="s">
        <v>421</v>
      </c>
      <c r="C9" s="762" t="s">
        <v>447</v>
      </c>
      <c r="D9" s="763"/>
      <c r="E9" s="763"/>
      <c r="F9" s="764"/>
      <c r="H9" s="345" t="s">
        <v>9</v>
      </c>
      <c r="I9" s="765" t="s">
        <v>448</v>
      </c>
      <c r="J9" s="763"/>
      <c r="K9" s="764"/>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3" t="str">
        <f>+'Data Entry'!B36&amp;" - in ("&amp;'Data Entry'!D26&amp;")  "&amp;+I3&amp;" "&amp;+K3</f>
        <v>F2: Budget and actual expenditures by Grant Objective - in ($)  Report Period: Q2</v>
      </c>
      <c r="C22" s="2"/>
      <c r="D22" s="2"/>
      <c r="E22" s="2"/>
      <c r="F22" s="2"/>
      <c r="H22" s="203" t="str">
        <f>+'Data Entry'!B64&amp;"      "&amp;+I3&amp;" "&amp;+K3</f>
        <v>F4: Latest PR reporting and disbursement cycle      Report Period: Q2</v>
      </c>
      <c r="J22" s="3"/>
      <c r="K22" s="3"/>
    </row>
    <row r="23" spans="2:11" ht="15">
      <c r="B23" s="345" t="s">
        <v>10</v>
      </c>
      <c r="C23" s="765" t="s">
        <v>454</v>
      </c>
      <c r="D23" s="763"/>
      <c r="E23" s="763"/>
      <c r="F23" s="764"/>
      <c r="G23" s="365"/>
      <c r="H23" s="345" t="s">
        <v>9</v>
      </c>
      <c r="I23" s="765"/>
      <c r="J23" s="766"/>
      <c r="K23" s="767"/>
    </row>
    <row r="24" spans="2:11" ht="15.75" thickBot="1">
      <c r="B24" s="209"/>
      <c r="C24" s="209"/>
      <c r="D24" s="209"/>
      <c r="E24" s="209"/>
      <c r="F24" s="209"/>
      <c r="G24" s="209"/>
      <c r="H24" s="210"/>
      <c r="I24" s="210"/>
      <c r="J24" s="209"/>
      <c r="K24" s="209"/>
    </row>
    <row r="25" spans="2:11" ht="29.25" customHeight="1" thickBot="1">
      <c r="B25" s="3"/>
      <c r="C25" s="3"/>
      <c r="D25" s="3"/>
      <c r="E25" s="3"/>
      <c r="F25" s="3"/>
      <c r="G25" s="318"/>
      <c r="H25" s="757" t="s">
        <v>306</v>
      </c>
      <c r="I25" s="758"/>
      <c r="J25" s="758"/>
      <c r="K25" s="759"/>
    </row>
    <row r="26" spans="2:11" ht="24">
      <c r="B26" s="3"/>
      <c r="C26" s="3"/>
      <c r="D26" s="3"/>
      <c r="E26" s="3"/>
      <c r="F26" s="3"/>
      <c r="G26" s="281"/>
      <c r="H26" s="760"/>
      <c r="I26" s="761"/>
      <c r="J26" s="295" t="s">
        <v>61</v>
      </c>
      <c r="K26" s="296" t="s">
        <v>62</v>
      </c>
    </row>
    <row r="27" spans="2:11" ht="23.25" customHeight="1">
      <c r="B27" s="3"/>
      <c r="C27" s="3"/>
      <c r="D27" s="3"/>
      <c r="E27" s="3"/>
      <c r="F27" s="3"/>
      <c r="G27" s="319"/>
      <c r="H27" s="746" t="str">
        <f>'Data Entry'!B68</f>
        <v>Days taken to submit final PU/DR to LFA</v>
      </c>
      <c r="I27" s="747"/>
      <c r="J27" s="297">
        <f>+'Data Entry'!C68</f>
        <v>45</v>
      </c>
      <c r="K27" s="294">
        <f>+'Data Entry'!D68</f>
        <v>44</v>
      </c>
    </row>
    <row r="28" spans="2:11" ht="21" customHeight="1">
      <c r="B28" s="3"/>
      <c r="C28" s="3"/>
      <c r="D28" s="3"/>
      <c r="E28" s="3"/>
      <c r="F28" s="3"/>
      <c r="G28" s="319"/>
      <c r="H28" s="746" t="str">
        <f>'Data Entry'!B69</f>
        <v>Days taken for disbursement to reach PR</v>
      </c>
      <c r="I28" s="747"/>
      <c r="J28" s="297">
        <f>+'Data Entry'!C69</f>
        <v>10</v>
      </c>
      <c r="K28" s="294">
        <f>+'Data Entry'!D69</f>
        <v>10</v>
      </c>
    </row>
    <row r="29" spans="2:11" ht="21" customHeight="1" thickBot="1">
      <c r="B29" s="3"/>
      <c r="C29" s="3"/>
      <c r="D29" s="3"/>
      <c r="E29" s="3"/>
      <c r="F29" s="3"/>
      <c r="G29" s="319"/>
      <c r="H29" s="748" t="str">
        <f>'Data Entry'!B70</f>
        <v>Days taken for disbursement to reach SRs </v>
      </c>
      <c r="I29" s="749"/>
      <c r="J29" s="298">
        <f>+'Data Entry'!C70</f>
        <v>3</v>
      </c>
      <c r="K29" s="299">
        <f>+'Data Entry'!D70</f>
        <v>3</v>
      </c>
    </row>
    <row r="30" spans="2:11" ht="15">
      <c r="B30" s="3"/>
      <c r="C30" s="3"/>
      <c r="D30" s="3"/>
      <c r="E30" s="3"/>
      <c r="F30" s="3"/>
      <c r="G30" s="3"/>
      <c r="H30" s="3"/>
      <c r="I30" s="3"/>
      <c r="J30" s="3"/>
      <c r="K30" s="3"/>
    </row>
    <row r="31" spans="2:11" ht="15">
      <c r="B31" s="3"/>
      <c r="C31" s="15"/>
      <c r="D31" s="230"/>
      <c r="E31" s="3"/>
      <c r="F31" s="3"/>
      <c r="G31" s="3"/>
      <c r="H31" s="3"/>
      <c r="I31" s="3"/>
      <c r="J31" s="3"/>
      <c r="K31" s="3"/>
    </row>
    <row r="32" spans="2:11" ht="15">
      <c r="B32" s="3"/>
      <c r="C32" s="15"/>
      <c r="D32" s="230"/>
      <c r="E32" s="3"/>
      <c r="F32" s="3"/>
      <c r="G32" s="3"/>
      <c r="H32" s="3"/>
      <c r="I32" s="3"/>
      <c r="J32" s="3"/>
      <c r="K32" s="3"/>
    </row>
    <row r="34" ht="15">
      <c r="E34" s="19"/>
    </row>
  </sheetData>
  <sheetProtection/>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21">
      <selection activeCell="I16" sqref="I16:L16"/>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26"/>
      <c r="E1" s="227"/>
    </row>
    <row r="2" spans="2:16" ht="27.75" customHeight="1">
      <c r="B2" s="778" t="str">
        <f>+"Dashboard:  "&amp;"  "&amp;IF(+'Data Entry'!C4="Please Select","",'Data Entry'!C4&amp;" - ")&amp;IF('Data Entry'!G6="Please Select","",'Data Entry'!G6)</f>
        <v>Dashboard:    Ghana - HIV / AIDS</v>
      </c>
      <c r="C2" s="778"/>
      <c r="D2" s="778"/>
      <c r="E2" s="778"/>
      <c r="F2" s="778"/>
      <c r="G2" s="778"/>
      <c r="H2" s="778"/>
      <c r="I2" s="778"/>
      <c r="J2" s="778"/>
      <c r="K2" s="778"/>
      <c r="L2" s="778"/>
      <c r="M2" s="26"/>
      <c r="N2" s="26"/>
      <c r="O2" s="26"/>
      <c r="P2" s="26"/>
    </row>
    <row r="3" spans="2:12" ht="15">
      <c r="B3" s="24">
        <f>+IF('Data Entry'!G8="Please Select","",'Data Entry'!G8)</f>
      </c>
      <c r="C3" s="768" t="str">
        <f>+IF('Data Entry'!I8="Please Select","",'Data Entry'!I8)</f>
        <v>NFM</v>
      </c>
      <c r="D3" s="768"/>
      <c r="E3" s="769"/>
      <c r="F3" s="769"/>
      <c r="G3" s="769"/>
      <c r="H3" s="769"/>
      <c r="I3" s="769"/>
      <c r="J3" s="773" t="str">
        <f>+'Data Entry'!B16</f>
        <v>Report Period:</v>
      </c>
      <c r="K3" s="773"/>
      <c r="L3" s="197" t="str">
        <f>+'Data Entry'!C16</f>
        <v>Q2</v>
      </c>
    </row>
    <row r="4" spans="2:12" ht="15">
      <c r="B4" s="24" t="str">
        <f>+'Data Entry'!B12</f>
        <v>Latest Rating:</v>
      </c>
      <c r="C4" s="755" t="str">
        <f>+IF('Data Entry'!C12="Please Select","",'Data Entry'!C12)</f>
        <v>A1</v>
      </c>
      <c r="D4" s="755"/>
      <c r="E4" s="769" t="str">
        <f>+'Data Entry'!C8</f>
        <v>Ghana AIDS Commission</v>
      </c>
      <c r="F4" s="769"/>
      <c r="G4" s="769"/>
      <c r="H4" s="769"/>
      <c r="I4" s="769"/>
      <c r="J4" s="773" t="str">
        <f>+'Data Entry'!D16</f>
        <v>From:</v>
      </c>
      <c r="K4" s="774"/>
      <c r="L4" s="199">
        <f>+IF(ISBLANK('Data Entry'!E16),"",'Data Entry'!E16)</f>
        <v>42278</v>
      </c>
    </row>
    <row r="5" spans="2:12" ht="18.75" customHeight="1">
      <c r="B5" s="24"/>
      <c r="C5" s="24"/>
      <c r="D5" s="769" t="str">
        <f>+'Data Entry'!G4</f>
        <v>Reinforcing the Scaling Up of HIV Services: Strengthening HIV
Prevention and Effective Targeting</v>
      </c>
      <c r="E5" s="769"/>
      <c r="F5" s="769"/>
      <c r="G5" s="769"/>
      <c r="H5" s="769"/>
      <c r="I5" s="769"/>
      <c r="J5" s="769"/>
      <c r="K5" s="24" t="str">
        <f>+'Data Entry'!F16</f>
        <v>To:</v>
      </c>
      <c r="L5" s="199">
        <f>+IF(ISBLANK('Data Entry'!G16),"",'Data Entry'!G16)</f>
        <v>42369</v>
      </c>
    </row>
    <row r="6" spans="2:9" ht="18.75">
      <c r="B6" s="23"/>
      <c r="C6" s="24"/>
      <c r="D6" s="25"/>
      <c r="E6" s="779" t="s">
        <v>70</v>
      </c>
      <c r="F6" s="779"/>
      <c r="G6" s="779"/>
      <c r="H6" s="779"/>
      <c r="I6" s="779"/>
    </row>
    <row r="7" spans="2:8" ht="15">
      <c r="B7" s="366" t="str">
        <f>+'Data Entry'!B75&amp;"                "&amp;+J3&amp;" "&amp;+L3</f>
        <v>M1: Status of Conditions Precedent (CPs) and Time Bound Actions (TBAs)                Report Period: Q2</v>
      </c>
      <c r="C7" s="21"/>
      <c r="H7" s="366" t="str">
        <f>+'Data Entry'!B82&amp;"                                                                             "&amp;+J3&amp;"  "&amp;+L3</f>
        <v>M2: Status of key PR management positions                                                                             Report Period:  Q2</v>
      </c>
    </row>
    <row r="8" spans="2:12" ht="15">
      <c r="B8" s="346" t="s">
        <v>9</v>
      </c>
      <c r="C8" s="765"/>
      <c r="D8" s="766"/>
      <c r="E8" s="766"/>
      <c r="F8" s="767"/>
      <c r="G8" s="367"/>
      <c r="H8" s="345" t="s">
        <v>9</v>
      </c>
      <c r="I8" s="765"/>
      <c r="J8" s="775"/>
      <c r="K8" s="775"/>
      <c r="L8" s="776"/>
    </row>
    <row r="9" spans="2:8" ht="15">
      <c r="B9" s="19"/>
      <c r="C9" s="19"/>
      <c r="D9" s="19"/>
      <c r="E9" s="19"/>
      <c r="F9" s="19"/>
      <c r="G9" s="19"/>
      <c r="H9" s="19"/>
    </row>
    <row r="10" spans="1:16" ht="15">
      <c r="A10" s="46"/>
      <c r="B10" s="19"/>
      <c r="C10" s="19"/>
      <c r="D10" s="780"/>
      <c r="E10" s="556"/>
      <c r="F10" s="556"/>
      <c r="G10" s="204"/>
      <c r="H10" s="19"/>
      <c r="N10" s="48"/>
      <c r="O10" s="48"/>
      <c r="P10" s="47"/>
    </row>
    <row r="11" spans="2:15" ht="15">
      <c r="B11" s="19"/>
      <c r="C11" s="28"/>
      <c r="D11" s="780"/>
      <c r="E11" s="28"/>
      <c r="F11" s="28"/>
      <c r="G11" s="28"/>
      <c r="H11" s="28"/>
      <c r="N11" s="19"/>
      <c r="O11" s="19"/>
    </row>
    <row r="12" spans="2:8" ht="15">
      <c r="B12" s="28"/>
      <c r="C12" s="78"/>
      <c r="D12" s="79"/>
      <c r="E12" s="79"/>
      <c r="F12" s="79"/>
      <c r="G12" s="79"/>
      <c r="H12" s="80"/>
    </row>
    <row r="13" spans="2:8" ht="15">
      <c r="B13" s="28"/>
      <c r="C13" s="78"/>
      <c r="D13" s="79"/>
      <c r="E13" s="79"/>
      <c r="F13" s="79"/>
      <c r="G13" s="79"/>
      <c r="H13" s="80"/>
    </row>
    <row r="15" spans="2:8" ht="27.75" customHeight="1">
      <c r="B15" s="366" t="str">
        <f>+'Data Entry'!B87&amp;"                                                                                                  "&amp;+J3&amp;" "&amp;+L3</f>
        <v>M3: Contractual arrangements (SRs)                                                                                                   Report Period: Q2</v>
      </c>
      <c r="H15" s="366" t="str">
        <f>+'Data Entry'!B92&amp;"                                                             "&amp;+J3&amp;" "&amp;+L3</f>
        <v>M4: Number of complete reports received on time                                                             Report Period: Q2</v>
      </c>
    </row>
    <row r="16" spans="2:12" ht="15">
      <c r="B16" s="346" t="s">
        <v>9</v>
      </c>
      <c r="C16" s="765" t="s">
        <v>477</v>
      </c>
      <c r="D16" s="775"/>
      <c r="E16" s="775"/>
      <c r="F16" s="776"/>
      <c r="G16" s="367"/>
      <c r="H16" s="345" t="s">
        <v>9</v>
      </c>
      <c r="I16" s="765" t="s">
        <v>478</v>
      </c>
      <c r="J16" s="766"/>
      <c r="K16" s="766"/>
      <c r="L16" s="767"/>
    </row>
    <row r="17" spans="2:8" ht="15">
      <c r="B17" s="29"/>
      <c r="H17" s="30"/>
    </row>
    <row r="18" ht="15">
      <c r="M18" s="82"/>
    </row>
    <row r="26" spans="2:8" ht="15">
      <c r="B26" s="366" t="str">
        <f>+'Data Entry'!B98</f>
        <v>M5: Budget and Procurement of health products, health equipment, medicines and pharmaceuticals</v>
      </c>
      <c r="H26" s="366" t="str">
        <f>+'Data Entry'!B111&amp;"                                                                "&amp;+J3&amp;"  "&amp;+L3</f>
        <v>M6: Difference between current and safety stock                                                                Report Period:  Q2</v>
      </c>
    </row>
    <row r="27" spans="2:12" ht="15">
      <c r="B27" s="344" t="s">
        <v>9</v>
      </c>
      <c r="C27" s="762" t="s">
        <v>413</v>
      </c>
      <c r="D27" s="775"/>
      <c r="E27" s="775"/>
      <c r="F27" s="776"/>
      <c r="G27" s="367"/>
      <c r="H27" s="345" t="s">
        <v>9</v>
      </c>
      <c r="I27" s="765" t="s">
        <v>413</v>
      </c>
      <c r="J27" s="766"/>
      <c r="K27" s="766"/>
      <c r="L27" s="767"/>
    </row>
    <row r="28" ht="15.75" thickBot="1"/>
    <row r="29" spans="6:12" ht="44.25" customHeight="1">
      <c r="F29" s="325"/>
      <c r="G29" s="325"/>
      <c r="H29" s="215" t="s">
        <v>33</v>
      </c>
      <c r="I29" s="321" t="s">
        <v>80</v>
      </c>
      <c r="J29" s="342" t="s">
        <v>341</v>
      </c>
      <c r="K29" s="214" t="s">
        <v>329</v>
      </c>
      <c r="L29" s="322" t="s">
        <v>328</v>
      </c>
    </row>
    <row r="30" spans="6:12" ht="15" customHeight="1">
      <c r="F30" s="325"/>
      <c r="G30" s="325"/>
      <c r="H30" s="770" t="str">
        <f>+'Data Entry'!B114</f>
        <v>HIV / AIDS</v>
      </c>
      <c r="I30" s="323" t="str">
        <f>+'Data Entry'!C114</f>
        <v>Please Select</v>
      </c>
      <c r="J30" s="426">
        <f>+'Data Entry'!I114</f>
      </c>
      <c r="K30" s="427">
        <f>+'Data Entry'!J114</f>
        <v>0</v>
      </c>
      <c r="L30" s="405">
        <f>+'Data Entry'!K114</f>
      </c>
    </row>
    <row r="31" spans="6:12" ht="15">
      <c r="F31" s="325"/>
      <c r="G31" s="325"/>
      <c r="H31" s="771"/>
      <c r="I31" s="323" t="str">
        <f>+'Data Entry'!C115</f>
        <v>Please Select</v>
      </c>
      <c r="J31" s="426">
        <f>+'Data Entry'!I115</f>
      </c>
      <c r="K31" s="427">
        <f>+'Data Entry'!J115</f>
        <v>0</v>
      </c>
      <c r="L31" s="406">
        <f>+'Data Entry'!K115</f>
      </c>
    </row>
    <row r="32" spans="6:12" ht="15">
      <c r="F32" s="325"/>
      <c r="G32" s="325"/>
      <c r="H32" s="771"/>
      <c r="I32" s="323" t="str">
        <f>+'Data Entry'!C116</f>
        <v>Please Select</v>
      </c>
      <c r="J32" s="426">
        <f>+'Data Entry'!I116</f>
      </c>
      <c r="K32" s="427">
        <f>+'Data Entry'!J116</f>
        <v>0</v>
      </c>
      <c r="L32" s="405">
        <f>+'Data Entry'!K116</f>
      </c>
    </row>
    <row r="33" spans="6:12" ht="15.75" thickBot="1">
      <c r="F33" s="325"/>
      <c r="G33" s="325"/>
      <c r="H33" s="772"/>
      <c r="I33" s="324" t="str">
        <f>+'Data Entry'!C117</f>
        <v>Please Select</v>
      </c>
      <c r="J33" s="428">
        <f>+'Data Entry'!I117</f>
      </c>
      <c r="K33" s="429">
        <f>+'Data Entry'!J117</f>
        <v>0</v>
      </c>
      <c r="L33" s="405">
        <f>+'Data Entry'!K117</f>
      </c>
    </row>
    <row r="34" spans="2:12" ht="24.75" customHeight="1">
      <c r="B34" s="777" t="str">
        <f>+'Data Entry'!B108</f>
        <v>* Includes only EFR category 4 and 5  (Health products and health equipment &amp; Medicines and Pharmaceuticals)</v>
      </c>
      <c r="C34" s="777"/>
      <c r="D34" s="777"/>
      <c r="E34" s="777"/>
      <c r="F34" s="19"/>
      <c r="G34" s="19"/>
      <c r="H34" s="211"/>
      <c r="I34" s="212"/>
      <c r="J34" s="213"/>
      <c r="K34" s="204"/>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2" operator="greaterThan" stopIfTrue="1">
      <formula>0</formula>
    </cfRule>
  </conditionalFormatting>
  <conditionalFormatting sqref="C4:D4">
    <cfRule type="cellIs" priority="4" dxfId="52" operator="equal" stopIfTrue="1">
      <formula>"C"</formula>
    </cfRule>
    <cfRule type="cellIs" priority="5" dxfId="49" operator="equal" stopIfTrue="1">
      <formula>"B2"</formula>
    </cfRule>
    <cfRule type="cellIs" priority="6" dxfId="50" operator="equal" stopIfTrue="1">
      <formula>"B1"</formula>
    </cfRule>
  </conditionalFormatting>
  <conditionalFormatting sqref="L30 L32:L33">
    <cfRule type="cellIs" priority="13" dxfId="53" operator="lessThan" stopIfTrue="1">
      <formula>1</formula>
    </cfRule>
    <cfRule type="cellIs" priority="14" dxfId="54" operator="between" stopIfTrue="1">
      <formula>3</formula>
      <formula>17</formula>
    </cfRule>
    <cfRule type="cellIs" priority="15" dxfId="55" operator="between" stopIfTrue="1">
      <formula>1</formula>
      <formula>3</formula>
    </cfRule>
  </conditionalFormatting>
  <conditionalFormatting sqref="L31">
    <cfRule type="cellIs" priority="16" dxfId="53" operator="lessThan" stopIfTrue="1">
      <formula>1</formula>
    </cfRule>
    <cfRule type="cellIs" priority="17" dxfId="54" operator="between" stopIfTrue="1">
      <formula>3</formula>
      <formula>100</formula>
    </cfRule>
    <cfRule type="cellIs" priority="18" dxfId="55"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4"/>
  <sheetViews>
    <sheetView showGridLines="0" zoomScalePageLayoutView="0" workbookViewId="0" topLeftCell="B19">
      <selection activeCell="L30" sqref="L30:Q30"/>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10.421875" style="0" customWidth="1"/>
    <col min="6" max="6" width="10.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20" customWidth="1"/>
    <col min="19" max="21" width="11.00390625" style="20" customWidth="1"/>
  </cols>
  <sheetData>
    <row r="1" spans="1:16" ht="26.25" customHeight="1">
      <c r="A1" s="3"/>
      <c r="B1" s="3"/>
      <c r="C1" s="3"/>
      <c r="D1" s="3"/>
      <c r="E1" s="3"/>
      <c r="F1" s="3"/>
      <c r="G1" s="3"/>
      <c r="H1" s="3"/>
      <c r="I1" s="3"/>
      <c r="J1" s="3"/>
      <c r="K1" s="3"/>
      <c r="L1" s="3"/>
      <c r="M1" s="3"/>
      <c r="N1" s="3"/>
      <c r="O1" s="3"/>
      <c r="P1" s="3"/>
    </row>
    <row r="2" spans="1:17" ht="21.75" customHeight="1">
      <c r="A2" s="3"/>
      <c r="B2" s="781" t="str">
        <f>+"Dashboard:  "&amp;"  "&amp;IF(+'Data Entry'!C4="Please Select","",'Data Entry'!C4&amp;" - ")&amp;IF('Data Entry'!G6="Please Select","",'Data Entry'!G6)</f>
        <v>Dashboard:    Ghana - HIV / AIDS</v>
      </c>
      <c r="C2" s="781"/>
      <c r="D2" s="781"/>
      <c r="E2" s="781"/>
      <c r="F2" s="781"/>
      <c r="G2" s="781"/>
      <c r="H2" s="781"/>
      <c r="I2" s="781"/>
      <c r="J2" s="781"/>
      <c r="K2" s="781"/>
      <c r="L2" s="781"/>
      <c r="M2" s="781"/>
      <c r="N2" s="781"/>
      <c r="O2" s="781"/>
      <c r="P2" s="781"/>
      <c r="Q2" s="781"/>
    </row>
    <row r="3" spans="1:17" ht="18.75">
      <c r="A3" s="3"/>
      <c r="B3" s="131">
        <f>+IF('Data Entry'!G8="Please Select","",'Data Entry'!G8)</f>
      </c>
      <c r="C3" s="754" t="str">
        <f>+IF('Data Entry'!I8="Please Select","",'Data Entry'!I8)</f>
        <v>NFM</v>
      </c>
      <c r="D3" s="754"/>
      <c r="E3" s="753"/>
      <c r="F3" s="753"/>
      <c r="G3" s="753"/>
      <c r="H3" s="753"/>
      <c r="I3" s="784"/>
      <c r="J3" s="784"/>
      <c r="K3" s="784"/>
      <c r="L3" s="3"/>
      <c r="M3" s="3"/>
      <c r="O3" s="751" t="str">
        <f>+'Data Entry'!B16</f>
        <v>Report Period:</v>
      </c>
      <c r="P3" s="751"/>
      <c r="Q3" s="198" t="str">
        <f>+'Data Entry'!C16</f>
        <v>Q2</v>
      </c>
    </row>
    <row r="4" spans="1:29" ht="12" customHeight="1">
      <c r="A4" s="3"/>
      <c r="B4" s="131" t="str">
        <f>+'Data Entry'!B12</f>
        <v>Latest Rating:</v>
      </c>
      <c r="C4" s="785" t="str">
        <f>+IF('Data Entry'!C12="Please Select","",'Data Entry'!C12)</f>
        <v>A1</v>
      </c>
      <c r="D4" s="785"/>
      <c r="E4" s="753" t="str">
        <f>+'Data Entry'!C8</f>
        <v>Ghana AIDS Commission</v>
      </c>
      <c r="F4" s="753"/>
      <c r="G4" s="753"/>
      <c r="H4" s="753"/>
      <c r="I4" s="753"/>
      <c r="J4" s="753"/>
      <c r="K4" s="753"/>
      <c r="L4" s="753"/>
      <c r="M4" s="3"/>
      <c r="O4" s="327"/>
      <c r="P4" s="131" t="str">
        <f>+'Data Entry'!D16</f>
        <v>From:</v>
      </c>
      <c r="Q4" s="328">
        <f>+IF(ISBLANK('Data Entry'!E16),"",'Data Entry'!E16)</f>
        <v>42278</v>
      </c>
      <c r="Y4" s="70"/>
      <c r="Z4" s="70"/>
      <c r="AA4" s="70"/>
      <c r="AB4" s="70"/>
      <c r="AC4" s="70"/>
    </row>
    <row r="5" spans="1:35" ht="15.75" customHeight="1">
      <c r="A5" s="3"/>
      <c r="B5" s="131"/>
      <c r="C5" s="131"/>
      <c r="D5" s="753" t="str">
        <f>+'Data Entry'!G4</f>
        <v>Reinforcing the Scaling Up of HIV Services: Strengthening HIV
Prevention and Effective Targeting</v>
      </c>
      <c r="E5" s="753"/>
      <c r="F5" s="753"/>
      <c r="G5" s="753"/>
      <c r="H5" s="753"/>
      <c r="I5" s="753"/>
      <c r="J5" s="753"/>
      <c r="K5" s="753"/>
      <c r="L5" s="753"/>
      <c r="M5" s="753"/>
      <c r="N5" s="753"/>
      <c r="P5" s="131" t="str">
        <f>+'Data Entry'!F16</f>
        <v>To:</v>
      </c>
      <c r="Q5" s="328">
        <f>+IF(ISBLANK('Data Entry'!G16),"",'Data Entry'!G16)</f>
        <v>42369</v>
      </c>
      <c r="S5" s="487"/>
      <c r="T5" s="487"/>
      <c r="U5" s="487"/>
      <c r="V5" s="222"/>
      <c r="W5" s="222"/>
      <c r="X5" s="222"/>
      <c r="Y5" s="70"/>
      <c r="Z5" s="70"/>
      <c r="AA5" s="70" t="s">
        <v>43</v>
      </c>
      <c r="AB5" s="70"/>
      <c r="AC5" s="70" t="s">
        <v>263</v>
      </c>
      <c r="AD5" s="222"/>
      <c r="AE5" s="222"/>
      <c r="AF5" s="222"/>
      <c r="AG5" s="222"/>
      <c r="AH5" s="222"/>
      <c r="AI5" s="222"/>
    </row>
    <row r="6" spans="1:35" ht="15.75" customHeight="1">
      <c r="A6" s="3"/>
      <c r="B6" s="131"/>
      <c r="C6" s="131"/>
      <c r="D6" s="220"/>
      <c r="E6" s="220"/>
      <c r="F6" s="783" t="s">
        <v>391</v>
      </c>
      <c r="G6" s="783"/>
      <c r="H6" s="783"/>
      <c r="I6" s="783"/>
      <c r="J6" s="783"/>
      <c r="K6" s="783"/>
      <c r="L6" s="220"/>
      <c r="M6" s="3"/>
      <c r="N6" s="3"/>
      <c r="O6" s="200"/>
      <c r="P6" s="252"/>
      <c r="S6" s="487"/>
      <c r="T6" s="487"/>
      <c r="U6" s="487"/>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200"/>
      <c r="P7" s="199"/>
      <c r="Q7" s="199"/>
      <c r="S7" s="487"/>
      <c r="T7" s="487"/>
      <c r="U7" s="487"/>
      <c r="V7" s="222"/>
      <c r="W7" s="222"/>
      <c r="X7" s="222"/>
      <c r="Y7" s="70"/>
      <c r="Z7" s="70"/>
      <c r="AA7" s="70"/>
      <c r="AB7" s="70"/>
      <c r="AC7" s="70"/>
      <c r="AD7" s="222"/>
      <c r="AE7" s="222"/>
      <c r="AF7" s="222"/>
      <c r="AG7" s="222"/>
      <c r="AH7" s="222"/>
      <c r="AI7" s="222"/>
    </row>
    <row r="8" spans="1:35" ht="18.75" customHeight="1">
      <c r="A8" s="3"/>
      <c r="B8" s="782" t="str">
        <f>+'Data Entry'!B124</f>
        <v>Pr1.  # of FSW reached with HIV prevention programs -defined package of service</v>
      </c>
      <c r="C8" s="782"/>
      <c r="D8" s="782"/>
      <c r="E8" s="782"/>
      <c r="F8" s="782" t="str">
        <f>+'Data Entry'!B126</f>
        <v>Pr2. #  of FSW that have received an HIV test during the reporting period and know their results</v>
      </c>
      <c r="G8" s="782"/>
      <c r="H8" s="782"/>
      <c r="I8" s="782"/>
      <c r="J8" s="782"/>
      <c r="K8" s="782"/>
      <c r="L8" s="782" t="str">
        <f>+'Data Entry'!B128</f>
        <v>Pr3.  # of MSM reached with HIV prevention programs - defined package of service</v>
      </c>
      <c r="M8" s="782"/>
      <c r="N8" s="782"/>
      <c r="O8" s="782"/>
      <c r="P8" s="782"/>
      <c r="Q8" s="782"/>
      <c r="S8" s="487"/>
      <c r="T8" s="487"/>
      <c r="U8" s="487"/>
      <c r="V8" s="222"/>
      <c r="W8" s="222"/>
      <c r="X8" s="222"/>
      <c r="Y8" s="70"/>
      <c r="Z8" s="70"/>
      <c r="AA8" s="70"/>
      <c r="AB8" s="70"/>
      <c r="AC8" s="70"/>
      <c r="AD8" s="222"/>
      <c r="AE8" s="222"/>
      <c r="AF8" s="222"/>
      <c r="AG8" s="222"/>
      <c r="AH8" s="222"/>
      <c r="AI8" s="222"/>
    </row>
    <row r="9" spans="1:35" ht="35.25" customHeight="1">
      <c r="A9" s="3"/>
      <c r="B9" s="447" t="s">
        <v>409</v>
      </c>
      <c r="C9" s="810"/>
      <c r="D9" s="811"/>
      <c r="E9" s="812"/>
      <c r="F9" s="447" t="s">
        <v>410</v>
      </c>
      <c r="G9" s="810"/>
      <c r="H9" s="811"/>
      <c r="I9" s="811"/>
      <c r="J9" s="811"/>
      <c r="K9" s="812"/>
      <c r="L9" s="447" t="s">
        <v>411</v>
      </c>
      <c r="M9" s="810"/>
      <c r="N9" s="811"/>
      <c r="O9" s="811"/>
      <c r="P9" s="811"/>
      <c r="Q9" s="812"/>
      <c r="S9" s="487"/>
      <c r="T9" s="487"/>
      <c r="U9" s="487"/>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200"/>
      <c r="P10" s="199"/>
      <c r="S10" s="487"/>
      <c r="T10" s="487"/>
      <c r="U10" s="487"/>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200"/>
      <c r="P11" s="199"/>
      <c r="S11" s="487"/>
      <c r="T11" s="487"/>
      <c r="U11" s="487"/>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200"/>
      <c r="P12" s="199"/>
      <c r="S12" s="487"/>
      <c r="T12" s="487"/>
      <c r="U12" s="487"/>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200"/>
      <c r="P13" s="199"/>
      <c r="S13" s="487"/>
      <c r="T13" s="487"/>
      <c r="U13" s="487"/>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200"/>
      <c r="P14" s="199"/>
      <c r="S14" s="487"/>
      <c r="T14" s="487"/>
      <c r="U14" s="487"/>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200"/>
      <c r="P15" s="199"/>
      <c r="S15" s="487"/>
      <c r="T15" s="487"/>
      <c r="U15" s="487"/>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200"/>
      <c r="P16" s="199"/>
      <c r="S16" s="487"/>
      <c r="T16" s="487"/>
      <c r="U16" s="487"/>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200"/>
      <c r="P17" s="199"/>
      <c r="S17" s="487"/>
      <c r="T17" s="487"/>
      <c r="U17" s="487"/>
      <c r="V17" s="222"/>
      <c r="W17" s="222"/>
      <c r="X17" s="222"/>
      <c r="Y17" s="222"/>
      <c r="Z17" s="222"/>
      <c r="AA17" s="222"/>
      <c r="AB17" s="222"/>
      <c r="AC17" s="222"/>
      <c r="AD17" s="222"/>
      <c r="AE17" s="222"/>
      <c r="AF17" s="222"/>
      <c r="AG17" s="222"/>
      <c r="AH17" s="222"/>
      <c r="AI17" s="222"/>
    </row>
    <row r="18" spans="1:35" ht="6" customHeight="1">
      <c r="A18" s="3"/>
      <c r="B18" s="135"/>
      <c r="C18" s="131"/>
      <c r="D18" s="132"/>
      <c r="E18" s="800"/>
      <c r="F18" s="800"/>
      <c r="G18" s="800"/>
      <c r="H18" s="800"/>
      <c r="I18" s="800"/>
      <c r="J18" s="800"/>
      <c r="K18" s="800"/>
      <c r="L18" s="3"/>
      <c r="M18" s="3"/>
      <c r="N18" s="3"/>
      <c r="O18" s="3"/>
      <c r="P18" s="3"/>
      <c r="S18" s="487"/>
      <c r="T18" s="487"/>
      <c r="U18" s="487"/>
      <c r="V18" s="222"/>
      <c r="W18" s="222"/>
      <c r="X18" s="222"/>
      <c r="Y18" s="222"/>
      <c r="Z18" s="222"/>
      <c r="AA18" s="222"/>
      <c r="AB18" s="222"/>
      <c r="AC18" s="222"/>
      <c r="AD18" s="222"/>
      <c r="AE18" s="222"/>
      <c r="AF18" s="222"/>
      <c r="AG18" s="222"/>
      <c r="AH18" s="222"/>
      <c r="AI18" s="222"/>
    </row>
    <row r="19" spans="1:35" ht="24" customHeight="1">
      <c r="A19" s="3"/>
      <c r="B19" s="801" t="s">
        <v>89</v>
      </c>
      <c r="C19" s="801"/>
      <c r="D19" s="801"/>
      <c r="E19" s="142" t="s">
        <v>86</v>
      </c>
      <c r="F19" s="142" t="s">
        <v>90</v>
      </c>
      <c r="G19" s="792" t="s">
        <v>330</v>
      </c>
      <c r="H19" s="793"/>
      <c r="I19" s="794" t="s">
        <v>331</v>
      </c>
      <c r="J19" s="795"/>
      <c r="K19" s="326" t="s">
        <v>332</v>
      </c>
      <c r="L19" s="802" t="s">
        <v>93</v>
      </c>
      <c r="M19" s="803"/>
      <c r="N19" s="803"/>
      <c r="O19" s="803"/>
      <c r="P19" s="803"/>
      <c r="Q19" s="804"/>
      <c r="S19" s="488" t="s">
        <v>91</v>
      </c>
      <c r="T19" s="489">
        <v>0</v>
      </c>
      <c r="U19" s="490">
        <v>0.3</v>
      </c>
      <c r="V19" s="484">
        <v>0.6</v>
      </c>
      <c r="W19" s="66">
        <v>0.9</v>
      </c>
      <c r="X19" s="66">
        <v>1</v>
      </c>
      <c r="Y19" s="70"/>
      <c r="Z19" s="70"/>
      <c r="AA19" s="64" t="s">
        <v>91</v>
      </c>
      <c r="AB19" s="65">
        <v>0</v>
      </c>
      <c r="AC19" s="66">
        <v>0.2</v>
      </c>
      <c r="AD19" s="66">
        <v>0.4</v>
      </c>
      <c r="AE19" s="66">
        <v>0.6</v>
      </c>
      <c r="AF19" s="66">
        <v>0.8</v>
      </c>
      <c r="AG19" s="70"/>
      <c r="AH19" s="70"/>
      <c r="AI19" s="70"/>
    </row>
    <row r="20" spans="1:35" ht="70.5" customHeight="1">
      <c r="A20" s="3"/>
      <c r="B20" s="796" t="str">
        <f>+'Data Entry'!B124</f>
        <v>Pr1.  # of FSW reached with HIV prevention programs -defined package of service</v>
      </c>
      <c r="C20" s="796"/>
      <c r="D20" s="796"/>
      <c r="E20" s="143">
        <f ca="1">OFFSET('Data Entry'!$G$123,1,RIGHT('Data Entry'!$C$16,LEN('Data Entry'!$C$16)-1),1,1)</f>
        <v>4124</v>
      </c>
      <c r="F20" s="143">
        <f ca="1">OFFSET('Data Entry'!$G$123,2,RIGHT('Data Entry'!$C$16,LEN('Data Entry'!$C$16)-1),1,1)</f>
        <v>7430</v>
      </c>
      <c r="G20" s="789">
        <f aca="true" t="shared" si="0" ref="G20:G27">+IF(ISERROR(F20/E20),0,F20/E20)</f>
        <v>1.8016488845780796</v>
      </c>
      <c r="H20" s="790"/>
      <c r="I20" s="790"/>
      <c r="J20" s="790"/>
      <c r="K20" s="791"/>
      <c r="L20" s="786" t="s">
        <v>479</v>
      </c>
      <c r="M20" s="787"/>
      <c r="N20" s="787"/>
      <c r="O20" s="787"/>
      <c r="P20" s="787"/>
      <c r="Q20" s="788"/>
      <c r="S20" s="488" t="s">
        <v>92</v>
      </c>
      <c r="T20" s="491">
        <v>0.3</v>
      </c>
      <c r="U20" s="490">
        <v>0.6</v>
      </c>
      <c r="V20" s="484">
        <v>0.9</v>
      </c>
      <c r="W20" s="66">
        <v>1</v>
      </c>
      <c r="X20" s="66">
        <v>2</v>
      </c>
      <c r="Y20" s="70"/>
      <c r="Z20" s="70"/>
      <c r="AA20" s="64" t="s">
        <v>92</v>
      </c>
      <c r="AB20" s="67">
        <v>0.2</v>
      </c>
      <c r="AC20" s="66">
        <v>0.4</v>
      </c>
      <c r="AD20" s="66">
        <v>0.6</v>
      </c>
      <c r="AE20" s="66">
        <v>0.8</v>
      </c>
      <c r="AF20" s="66">
        <v>1</v>
      </c>
      <c r="AG20" s="70"/>
      <c r="AH20" s="70"/>
      <c r="AI20" s="70"/>
    </row>
    <row r="21" spans="1:35" ht="58.5" customHeight="1">
      <c r="A21" s="3"/>
      <c r="B21" s="796" t="str">
        <f>+'Data Entry'!B126</f>
        <v>Pr2. #  of FSW that have received an HIV test during the reporting period and know their results</v>
      </c>
      <c r="C21" s="796"/>
      <c r="D21" s="796"/>
      <c r="E21" s="143">
        <f ca="1">OFFSET('Data Entry'!$G$123,3,RIGHT('Data Entry'!$C$16,LEN('Data Entry'!$C$16)-1),1,1)</f>
        <v>2058</v>
      </c>
      <c r="F21" s="143">
        <f ca="1">OFFSET('Data Entry'!$G$123,4,RIGHT('Data Entry'!$C$16,LEN('Data Entry'!$C$16)-1),1,1)</f>
        <v>2054</v>
      </c>
      <c r="G21" s="789">
        <f t="shared" si="0"/>
        <v>0.9980563654033042</v>
      </c>
      <c r="H21" s="790"/>
      <c r="I21" s="790"/>
      <c r="J21" s="790"/>
      <c r="K21" s="791"/>
      <c r="L21" s="786" t="s">
        <v>482</v>
      </c>
      <c r="M21" s="787"/>
      <c r="N21" s="787"/>
      <c r="O21" s="787"/>
      <c r="P21" s="787"/>
      <c r="Q21" s="788"/>
      <c r="S21" s="492"/>
      <c r="T21" s="493" t="str">
        <f>"de "&amp;T19&amp;" a "&amp;T20</f>
        <v>de 0 a 0.3</v>
      </c>
      <c r="U21" s="493" t="str">
        <f>"de "&amp;U19&amp;" a "&amp;U20</f>
        <v>de 0.3 a 0.6</v>
      </c>
      <c r="V21" s="486" t="str">
        <f>"de "&amp;V19&amp;" a "&amp;V20</f>
        <v>de 0.6 a 0.9</v>
      </c>
      <c r="W21" s="69" t="str">
        <f>"de "&amp;W19&amp;" a "&amp;W20</f>
        <v>de 0.9 a 1</v>
      </c>
      <c r="X21" s="69" t="str">
        <f>"de "&amp;X19&amp;" a "&amp;X20</f>
        <v>de 1 a 2</v>
      </c>
      <c r="Y21" s="70"/>
      <c r="Z21" s="70" t="s">
        <v>264</v>
      </c>
      <c r="AA21" s="68" t="s">
        <v>263</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55.5" customHeight="1">
      <c r="A22" s="3"/>
      <c r="B22" s="796" t="str">
        <f>+'Data Entry'!B128</f>
        <v>Pr3.  # of MSM reached with HIV prevention programs - defined package of service</v>
      </c>
      <c r="C22" s="796"/>
      <c r="D22" s="796"/>
      <c r="E22" s="143">
        <f ca="1">OFFSET('Data Entry'!$G$123,5,RIGHT('Data Entry'!$C$16,LEN('Data Entry'!$C$16)-1),1,1)</f>
        <v>3471</v>
      </c>
      <c r="F22" s="143">
        <f ca="1">OFFSET('Data Entry'!$G$123,6,RIGHT('Data Entry'!$C$16,LEN('Data Entry'!$C$16)-1),1,1)</f>
        <v>1322</v>
      </c>
      <c r="G22" s="789">
        <f t="shared" si="0"/>
        <v>0.3808700662633247</v>
      </c>
      <c r="H22" s="790"/>
      <c r="I22" s="790"/>
      <c r="J22" s="790"/>
      <c r="K22" s="791"/>
      <c r="L22" s="786" t="s">
        <v>480</v>
      </c>
      <c r="M22" s="787"/>
      <c r="N22" s="787"/>
      <c r="O22" s="787"/>
      <c r="P22" s="787"/>
      <c r="Q22" s="788"/>
      <c r="S22" s="492"/>
      <c r="T22" s="490" t="e">
        <f aca="true" t="shared" si="1" ref="T22:W31">IF($K20&gt;T$19,IF($K20&lt;=T$20,$K20,NA()),NA())</f>
        <v>#N/A</v>
      </c>
      <c r="U22" s="490" t="e">
        <f t="shared" si="1"/>
        <v>#N/A</v>
      </c>
      <c r="V22" s="484" t="e">
        <f t="shared" si="1"/>
        <v>#N/A</v>
      </c>
      <c r="W22" s="66" t="e">
        <f t="shared" si="1"/>
        <v>#N/A</v>
      </c>
      <c r="X22" s="66" t="e">
        <f>IF($K20&gt;X$19,IF($K20&lt;=X$20,1,NA()),NA())</f>
        <v>#N/A</v>
      </c>
      <c r="Y22" s="70"/>
      <c r="Z22" s="196" t="e">
        <f>+'Grant Detail'!#REF!</f>
        <v>#REF!</v>
      </c>
      <c r="AA22" s="66" t="e">
        <f>+IF(Z22="A1",1,IF(Z22="A2",0.8,IF(Z22="B1",0.6,IF(Z22="B2",0.4,0.2))))</f>
        <v>#REF!</v>
      </c>
      <c r="AB22" s="66" t="e">
        <f>IF($AA22&gt;AB$19,IF($AA22&lt;=AB$20,$AA22,NA()),NA())</f>
        <v>#REF!</v>
      </c>
      <c r="AC22" s="66" t="e">
        <f aca="true" t="shared" si="2" ref="AC22:AF24">IF($AA22&gt;AC$19,IF($AA22&lt;=AC$20,$AA22,NA()),NA())</f>
        <v>#REF!</v>
      </c>
      <c r="AD22" s="66" t="e">
        <f t="shared" si="2"/>
        <v>#REF!</v>
      </c>
      <c r="AE22" s="66" t="e">
        <f t="shared" si="2"/>
        <v>#REF!</v>
      </c>
      <c r="AF22" s="66" t="e">
        <f t="shared" si="2"/>
        <v>#REF!</v>
      </c>
      <c r="AG22" s="70"/>
      <c r="AH22" s="70"/>
      <c r="AI22" s="70"/>
    </row>
    <row r="23" spans="1:35" ht="66.75" customHeight="1">
      <c r="A23" s="3"/>
      <c r="B23" s="797" t="str">
        <f>+'Data Entry'!B130</f>
        <v>Pr4. #  of MSM  that have received an HIV test during the reporting period and know their results</v>
      </c>
      <c r="C23" s="798"/>
      <c r="D23" s="799"/>
      <c r="E23" s="143">
        <f ca="1">OFFSET('Data Entry'!$G$123,7,RIGHT('Data Entry'!$C$16,LEN('Data Entry'!$C$16)-1),1,1)</f>
        <v>1244</v>
      </c>
      <c r="F23" s="143">
        <f ca="1">OFFSET('Data Entry'!$G$123,8,RIGHT('Data Entry'!$C$16,LEN('Data Entry'!$C$16)-1),1,1)</f>
        <v>210</v>
      </c>
      <c r="G23" s="789">
        <f t="shared" si="0"/>
        <v>0.16881028938906753</v>
      </c>
      <c r="H23" s="790"/>
      <c r="I23" s="790"/>
      <c r="J23" s="790"/>
      <c r="K23" s="791"/>
      <c r="L23" s="786" t="s">
        <v>481</v>
      </c>
      <c r="M23" s="787"/>
      <c r="N23" s="787"/>
      <c r="O23" s="787"/>
      <c r="P23" s="787"/>
      <c r="Q23" s="788"/>
      <c r="S23" s="492"/>
      <c r="T23" s="490" t="e">
        <f t="shared" si="1"/>
        <v>#N/A</v>
      </c>
      <c r="U23" s="490" t="e">
        <f t="shared" si="1"/>
        <v>#N/A</v>
      </c>
      <c r="V23" s="484" t="e">
        <f t="shared" si="1"/>
        <v>#N/A</v>
      </c>
      <c r="W23" s="66" t="e">
        <f t="shared" si="1"/>
        <v>#N/A</v>
      </c>
      <c r="X23" s="66" t="e">
        <f>IF($K21&gt;X$19,IF($K21&lt;=X$20,1,1),NA())</f>
        <v>#N/A</v>
      </c>
      <c r="Y23" s="70"/>
      <c r="Z23" s="196" t="e">
        <f>+'Grant Detail'!#REF!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76.5" customHeight="1">
      <c r="A24" s="3"/>
      <c r="B24" s="796" t="str">
        <f>+'Data Entry'!B132</f>
        <v>Pr5.  # of FSW registered on National Health Insurance Scheme</v>
      </c>
      <c r="C24" s="796"/>
      <c r="D24" s="796"/>
      <c r="E24" s="143">
        <f ca="1">OFFSET('Data Entry'!$G$123,9,RIGHT('Data Entry'!$C$16,LEN('Data Entry'!$C$16)-1),1,1)</f>
        <v>1508</v>
      </c>
      <c r="F24" s="143">
        <f ca="1">OFFSET('Data Entry'!$G$123,10,RIGHT('Data Entry'!$C$16,LEN('Data Entry'!$C$16)-1),1,1)</f>
        <v>0</v>
      </c>
      <c r="G24" s="789">
        <f t="shared" si="0"/>
        <v>0</v>
      </c>
      <c r="H24" s="790"/>
      <c r="I24" s="790"/>
      <c r="J24" s="790"/>
      <c r="K24" s="791"/>
      <c r="L24" s="786" t="s">
        <v>473</v>
      </c>
      <c r="M24" s="787"/>
      <c r="N24" s="787"/>
      <c r="O24" s="787"/>
      <c r="P24" s="787"/>
      <c r="Q24" s="788"/>
      <c r="S24" s="492"/>
      <c r="T24" s="490" t="e">
        <f t="shared" si="1"/>
        <v>#N/A</v>
      </c>
      <c r="U24" s="490" t="e">
        <f t="shared" si="1"/>
        <v>#N/A</v>
      </c>
      <c r="V24" s="484" t="e">
        <f t="shared" si="1"/>
        <v>#N/A</v>
      </c>
      <c r="W24" s="66" t="e">
        <f t="shared" si="1"/>
        <v>#N/A</v>
      </c>
      <c r="X24" s="66" t="e">
        <f aca="true" t="shared" si="3" ref="X24:X31">IF($K22&gt;X$19,IF($K22&lt;=X$20,1,NA()),NA())</f>
        <v>#N/A</v>
      </c>
      <c r="Y24" s="70"/>
      <c r="Z24" s="196" t="e">
        <f>+'Grant Detail'!#REF!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56.25" customHeight="1">
      <c r="A25" s="3"/>
      <c r="B25" s="796" t="str">
        <f>+'Data Entry'!B134</f>
        <v>Pr6. # of MSM registered on National Health Insurance Scheme</v>
      </c>
      <c r="C25" s="796"/>
      <c r="D25" s="796"/>
      <c r="E25" s="143">
        <f ca="1">OFFSET('Data Entry'!$G$123,11,RIGHT('Data Entry'!$C$16,LEN('Data Entry'!$C$16)-1),1,1)</f>
        <v>441</v>
      </c>
      <c r="F25" s="143">
        <f ca="1">OFFSET('Data Entry'!$G$123,12,RIGHT('Data Entry'!$C$16,LEN('Data Entry'!$C$16)-1),1,1)</f>
        <v>0</v>
      </c>
      <c r="G25" s="789">
        <f t="shared" si="0"/>
        <v>0</v>
      </c>
      <c r="H25" s="790"/>
      <c r="I25" s="790"/>
      <c r="J25" s="790"/>
      <c r="K25" s="791"/>
      <c r="L25" s="786" t="s">
        <v>476</v>
      </c>
      <c r="M25" s="787"/>
      <c r="N25" s="787"/>
      <c r="O25" s="787"/>
      <c r="P25" s="787"/>
      <c r="Q25" s="788"/>
      <c r="S25" s="492"/>
      <c r="T25" s="490" t="e">
        <f t="shared" si="1"/>
        <v>#N/A</v>
      </c>
      <c r="U25" s="490" t="e">
        <f t="shared" si="1"/>
        <v>#N/A</v>
      </c>
      <c r="V25" s="484" t="e">
        <f t="shared" si="1"/>
        <v>#N/A</v>
      </c>
      <c r="W25" s="66" t="e">
        <f t="shared" si="1"/>
        <v>#N/A</v>
      </c>
      <c r="X25" s="66" t="e">
        <f t="shared" si="3"/>
        <v>#N/A</v>
      </c>
      <c r="Y25" s="70"/>
      <c r="Z25" s="70"/>
      <c r="AA25" s="70"/>
      <c r="AB25" s="70"/>
      <c r="AC25" s="70"/>
      <c r="AD25" s="70"/>
      <c r="AE25" s="70"/>
      <c r="AF25" s="70"/>
      <c r="AG25" s="70"/>
      <c r="AH25" s="70"/>
      <c r="AI25" s="70"/>
    </row>
    <row r="26" spans="1:35" ht="32.25" customHeight="1">
      <c r="A26" s="3"/>
      <c r="B26" s="796" t="str">
        <f>+'Data Entry'!B136</f>
        <v>Pr7. #  of PLHIV registered in the National Health Insurance Scheme</v>
      </c>
      <c r="C26" s="796"/>
      <c r="D26" s="796"/>
      <c r="E26" s="143">
        <f ca="1">OFFSET('Data Entry'!$G$123,13,RIGHT('Data Entry'!$C$16,LEN('Data Entry'!$C$16)-1),1,1)</f>
        <v>500</v>
      </c>
      <c r="F26" s="143">
        <f ca="1">OFFSET('Data Entry'!$G$123,14,RIGHT('Data Entry'!$C$16,LEN('Data Entry'!$C$16)-1),1,1)</f>
        <v>65</v>
      </c>
      <c r="G26" s="789">
        <f>+IF(ISERROR(F26/E26),0,F26/E26)</f>
        <v>0.13</v>
      </c>
      <c r="H26" s="790"/>
      <c r="I26" s="790"/>
      <c r="J26" s="790"/>
      <c r="K26" s="791"/>
      <c r="L26" s="786" t="s">
        <v>472</v>
      </c>
      <c r="M26" s="787"/>
      <c r="N26" s="787"/>
      <c r="O26" s="787"/>
      <c r="P26" s="787"/>
      <c r="Q26" s="788"/>
      <c r="S26" s="492"/>
      <c r="T26" s="490" t="e">
        <f t="shared" si="1"/>
        <v>#N/A</v>
      </c>
      <c r="U26" s="490" t="e">
        <f t="shared" si="1"/>
        <v>#N/A</v>
      </c>
      <c r="V26" s="484" t="e">
        <f t="shared" si="1"/>
        <v>#N/A</v>
      </c>
      <c r="W26" s="66" t="e">
        <f t="shared" si="1"/>
        <v>#N/A</v>
      </c>
      <c r="X26" s="66" t="e">
        <f t="shared" si="3"/>
        <v>#N/A</v>
      </c>
      <c r="Y26" s="70"/>
      <c r="Z26" s="70"/>
      <c r="AA26" s="70"/>
      <c r="AB26" s="70"/>
      <c r="AC26" s="70"/>
      <c r="AD26" s="70"/>
      <c r="AE26" s="70"/>
      <c r="AF26" s="70"/>
      <c r="AG26" s="70"/>
      <c r="AH26" s="70"/>
      <c r="AI26" s="70"/>
    </row>
    <row r="27" spans="1:35" ht="29.25" customHeight="1" hidden="1">
      <c r="A27" s="3"/>
      <c r="B27" s="481"/>
      <c r="C27" s="481"/>
      <c r="D27" s="481"/>
      <c r="E27" s="483">
        <f ca="1">OFFSET('Data Entry'!$G$123,19,RIGHT('Data Entry'!$C$16,LEN('Data Entry'!$C$16)-1),1,1)</f>
        <v>11</v>
      </c>
      <c r="F27" s="483">
        <f ca="1">OFFSET('Data Entry'!$G$123,20,RIGHT('Data Entry'!$C$16,LEN('Data Entry'!$C$16)-1),1,1)</f>
        <v>0</v>
      </c>
      <c r="G27" s="807">
        <f t="shared" si="0"/>
        <v>0</v>
      </c>
      <c r="H27" s="808"/>
      <c r="I27" s="808"/>
      <c r="J27" s="808"/>
      <c r="K27" s="809"/>
      <c r="L27" s="806"/>
      <c r="M27" s="806"/>
      <c r="N27" s="806"/>
      <c r="O27" s="806"/>
      <c r="P27" s="806"/>
      <c r="Q27" s="806"/>
      <c r="S27" s="492"/>
      <c r="T27" s="490" t="e">
        <f>IF(#REF!&gt;T$19,IF(#REF!&lt;=T$20,#REF!,NA()),NA())</f>
        <v>#REF!</v>
      </c>
      <c r="U27" s="490" t="e">
        <f>IF(#REF!&gt;U$19,IF(#REF!&lt;=U$20,#REF!,NA()),NA())</f>
        <v>#REF!</v>
      </c>
      <c r="V27" s="484" t="e">
        <f>IF(#REF!&gt;V$19,IF(#REF!&lt;=V$20,#REF!,NA()),NA())</f>
        <v>#REF!</v>
      </c>
      <c r="W27" s="66" t="e">
        <f>IF(#REF!&gt;W$19,IF(#REF!&lt;=W$20,#REF!,NA()),NA())</f>
        <v>#REF!</v>
      </c>
      <c r="X27" s="66" t="e">
        <f>IF(#REF!&gt;X$19,IF(#REF!&lt;=X$20,1,NA()),NA())</f>
        <v>#REF!</v>
      </c>
      <c r="Y27" s="70"/>
      <c r="Z27" s="70"/>
      <c r="AA27" s="70"/>
      <c r="AB27" s="70"/>
      <c r="AC27" s="70"/>
      <c r="AD27" s="70"/>
      <c r="AE27" s="70"/>
      <c r="AF27" s="70"/>
      <c r="AG27" s="70"/>
      <c r="AH27" s="70"/>
      <c r="AI27" s="70"/>
    </row>
    <row r="28" spans="1:35" ht="33.75" customHeight="1">
      <c r="A28" s="3"/>
      <c r="B28" s="796" t="s">
        <v>464</v>
      </c>
      <c r="C28" s="796"/>
      <c r="D28" s="796"/>
      <c r="E28" s="143">
        <v>79</v>
      </c>
      <c r="F28" s="143">
        <v>40</v>
      </c>
      <c r="G28" s="789">
        <f>+IF(ISERROR(F28/E28),0,F28/E28)</f>
        <v>0.5063291139240507</v>
      </c>
      <c r="H28" s="790"/>
      <c r="I28" s="790" t="s">
        <v>471</v>
      </c>
      <c r="J28" s="790"/>
      <c r="K28" s="791"/>
      <c r="L28" s="786" t="s">
        <v>475</v>
      </c>
      <c r="M28" s="787"/>
      <c r="N28" s="787"/>
      <c r="O28" s="787"/>
      <c r="P28" s="787"/>
      <c r="Q28" s="788"/>
      <c r="S28" s="492"/>
      <c r="T28" s="490" t="e">
        <f>IF(#REF!&gt;T$19,IF(#REF!&lt;=T$20,#REF!,NA()),NA())</f>
        <v>#REF!</v>
      </c>
      <c r="U28" s="490" t="e">
        <f>IF(#REF!&gt;U$19,IF(#REF!&lt;=U$20,#REF!,NA()),NA())</f>
        <v>#REF!</v>
      </c>
      <c r="V28" s="484" t="e">
        <f>IF(#REF!&gt;V$19,IF(#REF!&lt;=V$20,#REF!,NA()),NA())</f>
        <v>#REF!</v>
      </c>
      <c r="W28" s="66" t="e">
        <f>IF(#REF!&gt;W$19,IF(#REF!&lt;=W$20,#REF!,NA()),NA())</f>
        <v>#REF!</v>
      </c>
      <c r="X28" s="66" t="e">
        <f>IF(#REF!&gt;X$19,IF(#REF!&lt;=X$20,1,NA()),NA())</f>
        <v>#REF!</v>
      </c>
      <c r="Y28" s="70"/>
      <c r="Z28" s="70"/>
      <c r="AA28" s="70"/>
      <c r="AB28" s="70"/>
      <c r="AC28" s="70"/>
      <c r="AD28" s="70"/>
      <c r="AE28" s="70"/>
      <c r="AF28" s="70"/>
      <c r="AG28" s="70"/>
      <c r="AH28" s="70"/>
      <c r="AI28" s="70"/>
    </row>
    <row r="29" spans="1:35" ht="30.75" customHeight="1">
      <c r="A29" s="3"/>
      <c r="B29" s="796" t="s">
        <v>469</v>
      </c>
      <c r="C29" s="796"/>
      <c r="D29" s="796"/>
      <c r="E29" s="143">
        <v>11</v>
      </c>
      <c r="F29" s="143">
        <v>11</v>
      </c>
      <c r="G29" s="789">
        <f>+IF(ISERROR(F29/E29),0,F29/E29)</f>
        <v>1</v>
      </c>
      <c r="H29" s="790"/>
      <c r="I29" s="790"/>
      <c r="J29" s="790"/>
      <c r="K29" s="791"/>
      <c r="L29" s="813" t="s">
        <v>483</v>
      </c>
      <c r="M29" s="814"/>
      <c r="N29" s="814"/>
      <c r="O29" s="814"/>
      <c r="P29" s="814"/>
      <c r="Q29" s="815"/>
      <c r="R29" s="485"/>
      <c r="S29" s="495"/>
      <c r="T29" s="485"/>
      <c r="U29" s="485"/>
      <c r="V29" s="484" t="e">
        <f t="shared" si="1"/>
        <v>#N/A</v>
      </c>
      <c r="W29" s="66" t="e">
        <f t="shared" si="1"/>
        <v>#N/A</v>
      </c>
      <c r="X29" s="66" t="e">
        <f t="shared" si="3"/>
        <v>#N/A</v>
      </c>
      <c r="Y29" s="70"/>
      <c r="Z29" s="70"/>
      <c r="AA29" s="70"/>
      <c r="AB29" s="70"/>
      <c r="AC29" s="70"/>
      <c r="AD29" s="70"/>
      <c r="AE29" s="70"/>
      <c r="AF29" s="70"/>
      <c r="AG29" s="70"/>
      <c r="AH29" s="70"/>
      <c r="AI29" s="70"/>
    </row>
    <row r="30" spans="1:35" ht="35.25" customHeight="1">
      <c r="A30" s="3"/>
      <c r="B30" s="796" t="s">
        <v>470</v>
      </c>
      <c r="C30" s="796"/>
      <c r="D30" s="796"/>
      <c r="E30" s="143">
        <v>11</v>
      </c>
      <c r="F30" s="143">
        <v>0</v>
      </c>
      <c r="G30" s="789">
        <f>+IF(ISERROR(F30/E30),0,F30/E30)</f>
        <v>0</v>
      </c>
      <c r="H30" s="790"/>
      <c r="I30" s="790"/>
      <c r="J30" s="790"/>
      <c r="K30" s="791"/>
      <c r="L30" s="786" t="s">
        <v>474</v>
      </c>
      <c r="M30" s="787"/>
      <c r="N30" s="787"/>
      <c r="O30" s="787"/>
      <c r="P30" s="787"/>
      <c r="Q30" s="788"/>
      <c r="S30" s="492"/>
      <c r="T30" s="490" t="e">
        <f t="shared" si="1"/>
        <v>#N/A</v>
      </c>
      <c r="U30" s="490" t="e">
        <f t="shared" si="1"/>
        <v>#N/A</v>
      </c>
      <c r="V30" s="484" t="e">
        <f t="shared" si="1"/>
        <v>#N/A</v>
      </c>
      <c r="W30" s="66" t="e">
        <f t="shared" si="1"/>
        <v>#N/A</v>
      </c>
      <c r="X30" s="66" t="e">
        <f t="shared" si="3"/>
        <v>#N/A</v>
      </c>
      <c r="Y30" s="70"/>
      <c r="Z30" s="70"/>
      <c r="AA30" s="70"/>
      <c r="AB30" s="70"/>
      <c r="AC30" s="70"/>
      <c r="AD30" s="70"/>
      <c r="AE30" s="70"/>
      <c r="AF30" s="70"/>
      <c r="AG30" s="70"/>
      <c r="AH30" s="70"/>
      <c r="AI30" s="70"/>
    </row>
    <row r="31" spans="1:35" ht="15">
      <c r="A31" s="3"/>
      <c r="B31" s="3"/>
      <c r="C31" s="3"/>
      <c r="D31" s="3"/>
      <c r="E31" s="805"/>
      <c r="F31" s="805"/>
      <c r="G31" s="805"/>
      <c r="H31" s="805"/>
      <c r="I31" s="805"/>
      <c r="J31" s="805"/>
      <c r="K31" s="805"/>
      <c r="L31" s="223"/>
      <c r="M31" s="223"/>
      <c r="N31" s="223"/>
      <c r="O31" s="223"/>
      <c r="P31" s="223"/>
      <c r="S31" s="492"/>
      <c r="T31" s="490" t="e">
        <f t="shared" si="1"/>
        <v>#N/A</v>
      </c>
      <c r="U31" s="490" t="e">
        <f t="shared" si="1"/>
        <v>#N/A</v>
      </c>
      <c r="V31" s="484" t="e">
        <f t="shared" si="1"/>
        <v>#N/A</v>
      </c>
      <c r="W31" s="66" t="e">
        <f t="shared" si="1"/>
        <v>#N/A</v>
      </c>
      <c r="X31" s="66" t="e">
        <f t="shared" si="3"/>
        <v>#N/A</v>
      </c>
      <c r="Y31" s="70"/>
      <c r="Z31" s="70"/>
      <c r="AA31" s="70"/>
      <c r="AB31" s="70"/>
      <c r="AC31" s="70"/>
      <c r="AD31" s="70"/>
      <c r="AE31" s="70"/>
      <c r="AF31" s="70"/>
      <c r="AG31" s="70"/>
      <c r="AH31" s="70"/>
      <c r="AI31" s="70"/>
    </row>
    <row r="32" spans="1:35" ht="15">
      <c r="A32" s="3"/>
      <c r="B32" s="3"/>
      <c r="C32" s="3"/>
      <c r="D32" s="3"/>
      <c r="E32" s="805"/>
      <c r="F32" s="805"/>
      <c r="G32" s="805"/>
      <c r="H32" s="805"/>
      <c r="I32" s="805"/>
      <c r="J32" s="805"/>
      <c r="K32" s="805"/>
      <c r="L32" s="223"/>
      <c r="M32" s="223"/>
      <c r="N32" s="223"/>
      <c r="O32" s="223"/>
      <c r="P32" s="223"/>
      <c r="S32" s="492"/>
      <c r="T32" s="492"/>
      <c r="U32" s="492"/>
      <c r="V32" s="70"/>
      <c r="W32" s="70"/>
      <c r="X32" s="70"/>
      <c r="Y32" s="70"/>
      <c r="Z32" s="70"/>
      <c r="AA32" s="70"/>
      <c r="AB32" s="70"/>
      <c r="AC32" s="70"/>
      <c r="AD32" s="70"/>
      <c r="AE32" s="70"/>
      <c r="AF32" s="70"/>
      <c r="AG32" s="70"/>
      <c r="AH32" s="70"/>
      <c r="AI32" s="70"/>
    </row>
    <row r="33" spans="1:35" ht="15">
      <c r="A33" s="3"/>
      <c r="B33" s="3"/>
      <c r="C33" s="3"/>
      <c r="D33" s="3"/>
      <c r="E33" s="3"/>
      <c r="F33" s="3"/>
      <c r="G33" s="3"/>
      <c r="H33" s="3"/>
      <c r="I33" s="97"/>
      <c r="J33" s="97"/>
      <c r="K33" s="97"/>
      <c r="L33" s="3"/>
      <c r="M33" s="3"/>
      <c r="N33" s="3"/>
      <c r="O33" s="3"/>
      <c r="P33" s="3"/>
      <c r="S33" s="492"/>
      <c r="T33" s="492"/>
      <c r="U33" s="492"/>
      <c r="V33" s="70"/>
      <c r="W33" s="70"/>
      <c r="X33" s="70"/>
      <c r="Y33" s="70"/>
      <c r="Z33" s="70"/>
      <c r="AA33" s="70"/>
      <c r="AB33" s="70"/>
      <c r="AC33" s="70"/>
      <c r="AD33" s="70"/>
      <c r="AE33" s="70"/>
      <c r="AF33" s="70"/>
      <c r="AG33" s="70"/>
      <c r="AH33" s="70"/>
      <c r="AI33" s="70"/>
    </row>
    <row r="34" spans="1:35" ht="15">
      <c r="A34" s="3"/>
      <c r="B34" s="3"/>
      <c r="C34" s="3"/>
      <c r="D34" s="3"/>
      <c r="E34" s="3"/>
      <c r="F34" s="3"/>
      <c r="G34" s="3"/>
      <c r="H34" s="3"/>
      <c r="I34" s="144"/>
      <c r="J34" s="145"/>
      <c r="K34" s="145"/>
      <c r="L34" s="3"/>
      <c r="M34" s="3"/>
      <c r="N34" s="3"/>
      <c r="O34" s="3"/>
      <c r="P34" s="3"/>
      <c r="S34" s="492"/>
      <c r="T34" s="492"/>
      <c r="U34" s="492"/>
      <c r="V34" s="70"/>
      <c r="W34" s="70"/>
      <c r="X34" s="70"/>
      <c r="Y34" s="70"/>
      <c r="Z34" s="70"/>
      <c r="AA34" s="70"/>
      <c r="AB34" s="70"/>
      <c r="AC34" s="70"/>
      <c r="AD34" s="70"/>
      <c r="AE34" s="70"/>
      <c r="AF34" s="70"/>
      <c r="AG34" s="70"/>
      <c r="AH34" s="70"/>
      <c r="AI34" s="70"/>
    </row>
    <row r="35" spans="1:35" ht="15">
      <c r="A35" s="3"/>
      <c r="B35" s="3"/>
      <c r="C35" s="3"/>
      <c r="D35" s="3"/>
      <c r="E35" s="3"/>
      <c r="F35" s="3"/>
      <c r="G35" s="3"/>
      <c r="H35" s="3"/>
      <c r="I35" s="146"/>
      <c r="J35" s="147"/>
      <c r="K35" s="99"/>
      <c r="L35" s="3"/>
      <c r="M35" s="3"/>
      <c r="N35" s="3"/>
      <c r="O35" s="3"/>
      <c r="P35" s="3"/>
      <c r="S35" s="492"/>
      <c r="T35" s="492"/>
      <c r="U35" s="492"/>
      <c r="V35" s="70"/>
      <c r="W35" s="70"/>
      <c r="X35" s="70"/>
      <c r="Y35" s="70"/>
      <c r="Z35" s="70"/>
      <c r="AA35" s="70"/>
      <c r="AB35" s="70"/>
      <c r="AC35" s="70"/>
      <c r="AD35" s="70"/>
      <c r="AE35" s="70"/>
      <c r="AF35" s="70"/>
      <c r="AG35" s="70"/>
      <c r="AH35" s="70"/>
      <c r="AI35" s="70"/>
    </row>
    <row r="36" spans="1:35" ht="15">
      <c r="A36" s="3"/>
      <c r="B36" s="3"/>
      <c r="C36" s="3"/>
      <c r="D36" s="3"/>
      <c r="E36" s="3"/>
      <c r="F36" s="3"/>
      <c r="G36" s="3"/>
      <c r="H36" s="3"/>
      <c r="I36" s="148"/>
      <c r="J36" s="147"/>
      <c r="K36" s="99"/>
      <c r="L36" s="3"/>
      <c r="M36" s="3"/>
      <c r="N36" s="3"/>
      <c r="O36" s="3"/>
      <c r="P36" s="3"/>
      <c r="S36" s="492"/>
      <c r="T36" s="492"/>
      <c r="U36" s="492"/>
      <c r="V36" s="70"/>
      <c r="W36" s="70"/>
      <c r="X36" s="70"/>
      <c r="Y36" s="70"/>
      <c r="Z36" s="70"/>
      <c r="AA36" s="70"/>
      <c r="AB36" s="70"/>
      <c r="AC36" s="70"/>
      <c r="AD36" s="70"/>
      <c r="AE36" s="70"/>
      <c r="AF36" s="70"/>
      <c r="AG36" s="70"/>
      <c r="AH36" s="70"/>
      <c r="AI36" s="70"/>
    </row>
    <row r="37" spans="1:35" ht="15">
      <c r="A37" s="3"/>
      <c r="B37" s="3"/>
      <c r="C37" s="3"/>
      <c r="D37" s="3"/>
      <c r="E37" s="3"/>
      <c r="F37" s="3"/>
      <c r="G37" s="3"/>
      <c r="H37" s="3"/>
      <c r="I37" s="146"/>
      <c r="J37" s="147"/>
      <c r="K37" s="99"/>
      <c r="L37" s="3"/>
      <c r="M37" s="3"/>
      <c r="N37" s="3"/>
      <c r="O37" s="3"/>
      <c r="P37" s="3"/>
      <c r="S37" s="492"/>
      <c r="T37" s="492"/>
      <c r="U37" s="492"/>
      <c r="V37" s="70"/>
      <c r="W37" s="70"/>
      <c r="X37" s="70"/>
      <c r="Y37" s="70"/>
      <c r="Z37" s="70"/>
      <c r="AA37" s="70"/>
      <c r="AB37" s="70"/>
      <c r="AC37" s="70"/>
      <c r="AD37" s="70"/>
      <c r="AE37" s="70"/>
      <c r="AF37" s="70"/>
      <c r="AG37" s="70"/>
      <c r="AH37" s="70"/>
      <c r="AI37" s="70"/>
    </row>
    <row r="38" spans="1:35" ht="15">
      <c r="A38" s="3"/>
      <c r="B38" s="3"/>
      <c r="C38" s="3"/>
      <c r="D38" s="3"/>
      <c r="E38" s="3"/>
      <c r="F38" s="3"/>
      <c r="G38" s="3"/>
      <c r="H38" s="3"/>
      <c r="I38" s="3"/>
      <c r="J38" s="3"/>
      <c r="K38" s="3"/>
      <c r="L38" s="3"/>
      <c r="M38" s="3"/>
      <c r="N38" s="3"/>
      <c r="O38" s="3"/>
      <c r="P38" s="3"/>
      <c r="S38" s="492"/>
      <c r="T38" s="492"/>
      <c r="U38" s="492"/>
      <c r="V38" s="70"/>
      <c r="W38" s="70"/>
      <c r="X38" s="70"/>
      <c r="Y38" s="70"/>
      <c r="Z38" s="70"/>
      <c r="AA38" s="70"/>
      <c r="AB38" s="70"/>
      <c r="AC38" s="70"/>
      <c r="AD38" s="70"/>
      <c r="AE38" s="70"/>
      <c r="AF38" s="70"/>
      <c r="AG38" s="70"/>
      <c r="AH38" s="70"/>
      <c r="AI38" s="70"/>
    </row>
    <row r="39" spans="1:35" ht="15">
      <c r="A39" s="3"/>
      <c r="E39" s="3"/>
      <c r="F39" s="3"/>
      <c r="G39" s="3"/>
      <c r="H39" s="3"/>
      <c r="I39" s="3"/>
      <c r="J39" s="3"/>
      <c r="K39" s="3"/>
      <c r="L39" s="3"/>
      <c r="M39" s="3"/>
      <c r="N39" s="3"/>
      <c r="O39" s="3"/>
      <c r="P39" s="3"/>
      <c r="S39" s="492"/>
      <c r="T39" s="492"/>
      <c r="U39" s="492"/>
      <c r="V39" s="70"/>
      <c r="W39" s="70"/>
      <c r="X39" s="70"/>
      <c r="Y39" s="70"/>
      <c r="Z39" s="70"/>
      <c r="AA39" s="70"/>
      <c r="AB39" s="70"/>
      <c r="AC39" s="70"/>
      <c r="AD39" s="70"/>
      <c r="AE39" s="70"/>
      <c r="AF39" s="70"/>
      <c r="AG39" s="70"/>
      <c r="AH39" s="70"/>
      <c r="AI39" s="70"/>
    </row>
    <row r="40" spans="1:28" ht="15">
      <c r="A40" s="3"/>
      <c r="E40" s="3"/>
      <c r="F40" s="3"/>
      <c r="G40" s="3"/>
      <c r="H40" s="3"/>
      <c r="I40" s="3"/>
      <c r="J40" s="3"/>
      <c r="K40" s="3"/>
      <c r="L40" s="3"/>
      <c r="M40" s="3"/>
      <c r="N40" s="3"/>
      <c r="O40" s="3"/>
      <c r="P40" s="3"/>
      <c r="S40" s="494"/>
      <c r="T40" s="494"/>
      <c r="U40" s="494"/>
      <c r="V40" s="63"/>
      <c r="W40" s="63"/>
      <c r="X40" s="63"/>
      <c r="Y40" s="63"/>
      <c r="Z40" s="63"/>
      <c r="AA40" s="63"/>
      <c r="AB40" s="63"/>
    </row>
    <row r="41" spans="19:28" ht="15">
      <c r="S41" s="494"/>
      <c r="T41" s="494"/>
      <c r="U41" s="494"/>
      <c r="V41" s="63"/>
      <c r="W41" s="63"/>
      <c r="X41" s="63"/>
      <c r="Y41" s="63"/>
      <c r="Z41" s="63"/>
      <c r="AA41" s="63"/>
      <c r="AB41" s="63"/>
    </row>
    <row r="42" spans="19:28" ht="15">
      <c r="S42" s="494"/>
      <c r="T42" s="494"/>
      <c r="U42" s="494"/>
      <c r="V42" s="63"/>
      <c r="W42" s="63"/>
      <c r="X42" s="63"/>
      <c r="Y42" s="63"/>
      <c r="Z42" s="63"/>
      <c r="AA42" s="63"/>
      <c r="AB42" s="63"/>
    </row>
    <row r="43" spans="19:28" ht="15">
      <c r="S43" s="494"/>
      <c r="T43" s="494"/>
      <c r="U43" s="494"/>
      <c r="V43" s="63"/>
      <c r="W43" s="63"/>
      <c r="X43" s="63"/>
      <c r="Y43" s="63"/>
      <c r="Z43" s="63"/>
      <c r="AA43" s="63"/>
      <c r="AB43" s="63"/>
    </row>
    <row r="44" spans="19:28" ht="15">
      <c r="S44" s="494"/>
      <c r="T44" s="494"/>
      <c r="U44" s="494"/>
      <c r="V44" s="63"/>
      <c r="W44" s="63"/>
      <c r="X44" s="63"/>
      <c r="Y44" s="63"/>
      <c r="Z44" s="63"/>
      <c r="AA44" s="63"/>
      <c r="AB44" s="63"/>
    </row>
  </sheetData>
  <sheetProtection/>
  <mergeCells count="53">
    <mergeCell ref="F8:K8"/>
    <mergeCell ref="B30:D30"/>
    <mergeCell ref="G28:K28"/>
    <mergeCell ref="G30:K30"/>
    <mergeCell ref="L28:Q28"/>
    <mergeCell ref="L30:Q30"/>
    <mergeCell ref="L29:Q29"/>
    <mergeCell ref="G29:K29"/>
    <mergeCell ref="B28:D28"/>
    <mergeCell ref="B29:D29"/>
    <mergeCell ref="E31:G32"/>
    <mergeCell ref="H31:K32"/>
    <mergeCell ref="L27:Q27"/>
    <mergeCell ref="G27:K27"/>
    <mergeCell ref="C9:E9"/>
    <mergeCell ref="G9:K9"/>
    <mergeCell ref="M9:Q9"/>
    <mergeCell ref="G25:K25"/>
    <mergeCell ref="L20:Q20"/>
    <mergeCell ref="L21:Q21"/>
    <mergeCell ref="L23:Q23"/>
    <mergeCell ref="L24:Q24"/>
    <mergeCell ref="E18:K18"/>
    <mergeCell ref="B19:D19"/>
    <mergeCell ref="B20:D20"/>
    <mergeCell ref="B21:D21"/>
    <mergeCell ref="L19:Q19"/>
    <mergeCell ref="B26:D26"/>
    <mergeCell ref="B22:D22"/>
    <mergeCell ref="G26:K26"/>
    <mergeCell ref="B23:D23"/>
    <mergeCell ref="B24:D24"/>
    <mergeCell ref="B25:D25"/>
    <mergeCell ref="L25:Q25"/>
    <mergeCell ref="L26:Q26"/>
    <mergeCell ref="G20:K20"/>
    <mergeCell ref="G21:K21"/>
    <mergeCell ref="G22:K22"/>
    <mergeCell ref="G19:H19"/>
    <mergeCell ref="I19:J19"/>
    <mergeCell ref="G23:K23"/>
    <mergeCell ref="G24:K24"/>
    <mergeCell ref="L22:Q22"/>
    <mergeCell ref="B2:Q2"/>
    <mergeCell ref="O3:P3"/>
    <mergeCell ref="D5:N5"/>
    <mergeCell ref="L8:Q8"/>
    <mergeCell ref="F6:K6"/>
    <mergeCell ref="E3:K3"/>
    <mergeCell ref="C4:D4"/>
    <mergeCell ref="C3:D3"/>
    <mergeCell ref="E4:L4"/>
    <mergeCell ref="B8:E8"/>
  </mergeCells>
  <conditionalFormatting sqref="C4:D4">
    <cfRule type="cellIs" priority="83" dxfId="52" operator="equal" stopIfTrue="1">
      <formula>"C"</formula>
    </cfRule>
    <cfRule type="cellIs" priority="84" dxfId="49" operator="equal" stopIfTrue="1">
      <formula>"B2"</formula>
    </cfRule>
    <cfRule type="cellIs" priority="85" dxfId="50" operator="equal" stopIfTrue="1">
      <formula>"B1"</formula>
    </cfRule>
  </conditionalFormatting>
  <conditionalFormatting sqref="G20:G27">
    <cfRule type="cellIs" priority="89" dxfId="56" operator="between" stopIfTrue="1">
      <formula>0</formula>
      <formula>0.599</formula>
    </cfRule>
    <cfRule type="cellIs" priority="90" dxfId="55" operator="between" stopIfTrue="1">
      <formula>0.6</formula>
      <formula>0.899</formula>
    </cfRule>
    <cfRule type="cellIs" priority="91" dxfId="57" operator="greaterThanOrEqual" stopIfTrue="1">
      <formula>0.9</formula>
    </cfRule>
  </conditionalFormatting>
  <conditionalFormatting sqref="G28">
    <cfRule type="cellIs" priority="31" dxfId="56" operator="between" stopIfTrue="1">
      <formula>0</formula>
      <formula>0.599</formula>
    </cfRule>
    <cfRule type="cellIs" priority="32" dxfId="55" operator="between" stopIfTrue="1">
      <formula>0.6</formula>
      <formula>0.899</formula>
    </cfRule>
    <cfRule type="cellIs" priority="33" dxfId="57" operator="greaterThanOrEqual" stopIfTrue="1">
      <formula>0.9</formula>
    </cfRule>
  </conditionalFormatting>
  <conditionalFormatting sqref="G30">
    <cfRule type="cellIs" priority="4" dxfId="56" operator="between" stopIfTrue="1">
      <formula>0</formula>
      <formula>0.599</formula>
    </cfRule>
    <cfRule type="cellIs" priority="5" dxfId="55" operator="between" stopIfTrue="1">
      <formula>0.6</formula>
      <formula>0.899</formula>
    </cfRule>
    <cfRule type="cellIs" priority="6" dxfId="57" operator="greaterThanOrEqual" stopIfTrue="1">
      <formula>0.9</formula>
    </cfRule>
  </conditionalFormatting>
  <conditionalFormatting sqref="G29">
    <cfRule type="cellIs" priority="1" dxfId="56" operator="between" stopIfTrue="1">
      <formula>0</formula>
      <formula>0.599</formula>
    </cfRule>
    <cfRule type="cellIs" priority="2" dxfId="55" operator="between" stopIfTrue="1">
      <formula>0.6</formula>
      <formula>0.899</formula>
    </cfRule>
    <cfRule type="cellIs" priority="3" dxfId="57"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7">
      <selection activeCell="I29" sqref="I29:N29"/>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0"/>
      <c r="B1" s="150"/>
      <c r="C1" s="150"/>
      <c r="D1" s="150"/>
      <c r="E1" s="150"/>
      <c r="F1" s="150"/>
      <c r="G1" s="150"/>
      <c r="H1" s="150"/>
      <c r="I1" s="150"/>
      <c r="J1" s="150"/>
      <c r="K1" s="151"/>
      <c r="L1" s="150"/>
      <c r="M1" s="150"/>
      <c r="N1" s="150"/>
    </row>
    <row r="2" spans="1:15" ht="27.75" customHeight="1">
      <c r="A2" s="3"/>
      <c r="B2" s="781" t="str">
        <f>+"Dashboard:  "&amp;"  "&amp;IF(+'Data Entry'!C4="Please Select","",'Data Entry'!C4&amp;" - ")&amp;IF('Data Entry'!G6="Please Select","",'Data Entry'!G6)</f>
        <v>Dashboard:    Ghana - HIV / AIDS</v>
      </c>
      <c r="C2" s="781"/>
      <c r="D2" s="781"/>
      <c r="E2" s="781"/>
      <c r="F2" s="781"/>
      <c r="G2" s="781"/>
      <c r="H2" s="781"/>
      <c r="I2" s="781"/>
      <c r="J2" s="781"/>
      <c r="K2" s="781"/>
      <c r="L2" s="781"/>
      <c r="M2" s="781"/>
      <c r="N2" s="781"/>
      <c r="O2" s="72"/>
    </row>
    <row r="3" spans="1:14" ht="18.75">
      <c r="A3" s="3"/>
      <c r="B3" s="131">
        <f>+IF('Data Entry'!G8="Please Select","",'Data Entry'!G8)</f>
      </c>
      <c r="C3" s="754" t="str">
        <f>+IF('Data Entry'!I8="Please Select","",'Data Entry'!I8)</f>
        <v>NFM</v>
      </c>
      <c r="D3" s="754"/>
      <c r="E3" s="784"/>
      <c r="F3" s="784"/>
      <c r="G3" s="784"/>
      <c r="H3" s="784"/>
      <c r="I3" s="784"/>
      <c r="J3" s="784"/>
      <c r="K3" s="784"/>
      <c r="L3" s="131" t="str">
        <f>+'Data Entry'!B16</f>
        <v>Report Period:</v>
      </c>
      <c r="M3" s="198" t="str">
        <f>+'Data Entry'!C16</f>
        <v>Q2</v>
      </c>
      <c r="N3" s="198"/>
    </row>
    <row r="4" spans="1:14" ht="15">
      <c r="A4" s="3"/>
      <c r="B4" s="131" t="str">
        <f>+'Data Entry'!B12</f>
        <v>Latest Rating:</v>
      </c>
      <c r="C4" s="785" t="str">
        <f>+IF('Data Entry'!C12="Please Select","",'Data Entry'!C12)</f>
        <v>A1</v>
      </c>
      <c r="D4" s="785"/>
      <c r="E4" s="753" t="str">
        <f>+'Data Entry'!C8</f>
        <v>Ghana AIDS Commission</v>
      </c>
      <c r="F4" s="753"/>
      <c r="G4" s="753"/>
      <c r="H4" s="753"/>
      <c r="I4" s="753"/>
      <c r="J4" s="753"/>
      <c r="K4" s="753"/>
      <c r="L4" s="131" t="str">
        <f>+'Data Entry'!D16</f>
        <v>From:</v>
      </c>
      <c r="M4" s="199">
        <f>+IF(ISBLANK('Data Entry'!E16),"",'Data Entry'!E16)</f>
        <v>42278</v>
      </c>
      <c r="N4" s="199"/>
    </row>
    <row r="5" spans="1:14" ht="18.75" customHeight="1">
      <c r="A5" s="3"/>
      <c r="B5" s="131"/>
      <c r="C5" s="131"/>
      <c r="D5" s="132"/>
      <c r="E5" s="753" t="str">
        <f>+'Data Entry'!G4</f>
        <v>Reinforcing the Scaling Up of HIV Services: Strengthening HIV
Prevention and Effective Targeting</v>
      </c>
      <c r="F5" s="753"/>
      <c r="G5" s="753"/>
      <c r="H5" s="753"/>
      <c r="I5" s="753"/>
      <c r="J5" s="753"/>
      <c r="K5" s="753"/>
      <c r="L5" s="131" t="str">
        <f>+'Data Entry'!F16</f>
        <v>To:</v>
      </c>
      <c r="M5" s="199">
        <f>+IF(ISBLANK('Data Entry'!G16),"",'Data Entry'!G16)</f>
        <v>42369</v>
      </c>
      <c r="N5" s="199"/>
    </row>
    <row r="6" spans="1:14" ht="22.5" customHeight="1">
      <c r="A6" s="3"/>
      <c r="B6" s="136"/>
      <c r="C6" s="137"/>
      <c r="D6" s="138"/>
      <c r="E6" s="844" t="s">
        <v>313</v>
      </c>
      <c r="F6" s="844"/>
      <c r="G6" s="844"/>
      <c r="H6" s="844"/>
      <c r="I6" s="844"/>
      <c r="J6" s="844"/>
      <c r="K6" s="844"/>
      <c r="L6" s="2"/>
      <c r="M6" s="2"/>
      <c r="N6" s="2"/>
    </row>
    <row r="7" spans="1:14" s="33" customFormat="1" ht="4.5" customHeight="1">
      <c r="A7" s="152"/>
      <c r="B7" s="153"/>
      <c r="C7" s="153"/>
      <c r="D7" s="153"/>
      <c r="E7" s="153"/>
      <c r="F7" s="153"/>
      <c r="G7" s="153"/>
      <c r="H7" s="153"/>
      <c r="I7" s="153"/>
      <c r="J7" s="153"/>
      <c r="K7" s="153"/>
      <c r="L7" s="154"/>
      <c r="M7" s="154"/>
      <c r="N7" s="155"/>
    </row>
    <row r="8" spans="1:14" s="33" customFormat="1" ht="21" customHeight="1" thickBot="1">
      <c r="A8" s="152"/>
      <c r="B8" s="822" t="s">
        <v>99</v>
      </c>
      <c r="C8" s="822"/>
      <c r="D8" s="822"/>
      <c r="E8" s="822"/>
      <c r="F8" s="822"/>
      <c r="G8" s="822"/>
      <c r="H8" s="822"/>
      <c r="I8" s="822"/>
      <c r="J8" s="822"/>
      <c r="K8" s="822"/>
      <c r="L8" s="822"/>
      <c r="M8" s="822"/>
      <c r="N8" s="822"/>
    </row>
    <row r="9" spans="1:14" s="33" customFormat="1" ht="3.75" customHeight="1" thickBot="1">
      <c r="A9" s="152"/>
      <c r="B9" s="153"/>
      <c r="C9" s="153"/>
      <c r="D9" s="153"/>
      <c r="E9" s="153"/>
      <c r="F9" s="153"/>
      <c r="G9" s="153"/>
      <c r="H9" s="153"/>
      <c r="I9" s="153"/>
      <c r="J9" s="153"/>
      <c r="K9" s="153"/>
      <c r="L9" s="154"/>
      <c r="M9" s="154"/>
      <c r="N9" s="155"/>
    </row>
    <row r="10" spans="1:14" s="34" customFormat="1" ht="25.5" customHeight="1" thickBot="1">
      <c r="A10" s="156"/>
      <c r="B10" s="843" t="s">
        <v>94</v>
      </c>
      <c r="C10" s="835"/>
      <c r="D10" s="823" t="s">
        <v>98</v>
      </c>
      <c r="E10" s="824"/>
      <c r="F10" s="824"/>
      <c r="G10" s="825"/>
      <c r="H10" s="159"/>
      <c r="I10" s="823" t="s">
        <v>313</v>
      </c>
      <c r="J10" s="824"/>
      <c r="K10" s="824"/>
      <c r="L10" s="824"/>
      <c r="M10" s="824"/>
      <c r="N10" s="825"/>
    </row>
    <row r="11" spans="1:14" s="34" customFormat="1" ht="28.5" customHeight="1">
      <c r="A11" s="156"/>
      <c r="B11" s="410" t="s">
        <v>102</v>
      </c>
      <c r="C11" s="176"/>
      <c r="D11" s="847" t="str">
        <f>IF(ISBLANK(Finance!C9),"",(Finance!C9))</f>
        <v>The PR received $1,332,486 from the GF  within the period</v>
      </c>
      <c r="E11" s="847"/>
      <c r="F11" s="847"/>
      <c r="G11" s="848"/>
      <c r="H11" s="182"/>
      <c r="I11" s="849"/>
      <c r="J11" s="850"/>
      <c r="K11" s="850"/>
      <c r="L11" s="850"/>
      <c r="M11" s="850"/>
      <c r="N11" s="851"/>
    </row>
    <row r="12" spans="1:14" s="34" customFormat="1" ht="27.75" customHeight="1">
      <c r="A12" s="156"/>
      <c r="B12" s="411" t="s">
        <v>103</v>
      </c>
      <c r="C12" s="177"/>
      <c r="D12" s="847" t="str">
        <f>IF(ISBLANK(Finance!C23),"",(Finance!C23))</f>
        <v>The PR did not undertake any activities in HTC and Condom distribution</v>
      </c>
      <c r="E12" s="847"/>
      <c r="F12" s="847"/>
      <c r="G12" s="848"/>
      <c r="H12" s="182"/>
      <c r="I12" s="837"/>
      <c r="J12" s="838"/>
      <c r="K12" s="838"/>
      <c r="L12" s="838"/>
      <c r="M12" s="838"/>
      <c r="N12" s="839"/>
    </row>
    <row r="13" spans="1:14" s="34" customFormat="1" ht="26.25" customHeight="1">
      <c r="A13" s="156"/>
      <c r="B13" s="411" t="s">
        <v>104</v>
      </c>
      <c r="C13" s="177"/>
      <c r="D13" s="847" t="str">
        <f>IF(ISBLANK(Finance!I9),"",(Finance!I9))</f>
        <v> $34667.45 was disbursement  to SR within this period.</v>
      </c>
      <c r="E13" s="847"/>
      <c r="F13" s="847"/>
      <c r="G13" s="848"/>
      <c r="H13" s="182"/>
      <c r="I13" s="837"/>
      <c r="J13" s="838"/>
      <c r="K13" s="838"/>
      <c r="L13" s="838"/>
      <c r="M13" s="838"/>
      <c r="N13" s="839"/>
    </row>
    <row r="14" spans="1:14" s="34" customFormat="1" ht="28.5" customHeight="1" thickBot="1">
      <c r="A14" s="156"/>
      <c r="B14" s="412" t="s">
        <v>105</v>
      </c>
      <c r="C14" s="178"/>
      <c r="D14" s="845">
        <f>IF(ISBLANK(Finance!I23),"",(Finance!I23))</f>
      </c>
      <c r="E14" s="845"/>
      <c r="F14" s="845"/>
      <c r="G14" s="846"/>
      <c r="H14" s="182"/>
      <c r="I14" s="840"/>
      <c r="J14" s="841"/>
      <c r="K14" s="841"/>
      <c r="L14" s="841"/>
      <c r="M14" s="841"/>
      <c r="N14" s="842"/>
    </row>
    <row r="15" spans="1:15" s="34" customFormat="1" ht="4.5" customHeight="1">
      <c r="A15" s="156"/>
      <c r="B15" s="179"/>
      <c r="C15" s="180"/>
      <c r="D15" s="181"/>
      <c r="E15" s="181"/>
      <c r="F15" s="181"/>
      <c r="G15" s="181"/>
      <c r="H15" s="182"/>
      <c r="I15" s="183"/>
      <c r="J15" s="183"/>
      <c r="K15" s="183"/>
      <c r="L15" s="183"/>
      <c r="M15" s="183"/>
      <c r="N15" s="183"/>
      <c r="O15" s="74"/>
    </row>
    <row r="16" spans="1:14" s="33" customFormat="1" ht="21" customHeight="1" thickBot="1">
      <c r="A16" s="152"/>
      <c r="B16" s="822" t="s">
        <v>101</v>
      </c>
      <c r="C16" s="822"/>
      <c r="D16" s="822"/>
      <c r="E16" s="822"/>
      <c r="F16" s="822"/>
      <c r="G16" s="822"/>
      <c r="H16" s="822"/>
      <c r="I16" s="822"/>
      <c r="J16" s="822"/>
      <c r="K16" s="822"/>
      <c r="L16" s="822"/>
      <c r="M16" s="822"/>
      <c r="N16" s="822"/>
    </row>
    <row r="17" spans="1:14" s="34" customFormat="1" ht="3.75" customHeight="1" thickBot="1">
      <c r="A17" s="156"/>
      <c r="B17" s="165"/>
      <c r="C17" s="166"/>
      <c r="D17" s="167"/>
      <c r="E17" s="168"/>
      <c r="F17" s="169"/>
      <c r="G17" s="169"/>
      <c r="H17" s="170"/>
      <c r="I17" s="171"/>
      <c r="J17" s="172"/>
      <c r="K17" s="161"/>
      <c r="L17" s="162"/>
      <c r="M17" s="163"/>
      <c r="N17" s="164"/>
    </row>
    <row r="18" spans="1:14" s="34" customFormat="1" ht="22.5" customHeight="1" thickBot="1">
      <c r="A18" s="156"/>
      <c r="B18" s="835" t="s">
        <v>95</v>
      </c>
      <c r="C18" s="836"/>
      <c r="D18" s="862" t="s">
        <v>98</v>
      </c>
      <c r="E18" s="863"/>
      <c r="F18" s="863"/>
      <c r="G18" s="864"/>
      <c r="H18" s="159"/>
      <c r="I18" s="859" t="s">
        <v>313</v>
      </c>
      <c r="J18" s="860"/>
      <c r="K18" s="860"/>
      <c r="L18" s="860"/>
      <c r="M18" s="861"/>
      <c r="N18" s="861"/>
    </row>
    <row r="19" spans="1:14" s="34" customFormat="1" ht="21.75" customHeight="1">
      <c r="A19" s="156"/>
      <c r="B19" s="413" t="s">
        <v>110</v>
      </c>
      <c r="C19" s="184"/>
      <c r="D19" s="865">
        <f>IF(ISBLANK(Management!C8),"",(Management!C8))</f>
      </c>
      <c r="E19" s="865"/>
      <c r="F19" s="865"/>
      <c r="G19" s="866"/>
      <c r="H19" s="185"/>
      <c r="I19" s="826"/>
      <c r="J19" s="827"/>
      <c r="K19" s="827"/>
      <c r="L19" s="827"/>
      <c r="M19" s="827"/>
      <c r="N19" s="828"/>
    </row>
    <row r="20" spans="1:15" ht="24.75" customHeight="1">
      <c r="A20" s="150"/>
      <c r="B20" s="414" t="s">
        <v>111</v>
      </c>
      <c r="C20" s="186"/>
      <c r="D20" s="847">
        <f>IF(ISBLANK(Management!I8),"",(Management!I8))</f>
      </c>
      <c r="E20" s="847" t="e">
        <f>+'Data Entry'!D79/'Data Entry'!G79</f>
        <v>#DIV/0!</v>
      </c>
      <c r="F20" s="847" t="e">
        <f>+('Data Entry'!E79+'Data Entry'!F79)/'Data Entry'!G79</f>
        <v>#DIV/0!</v>
      </c>
      <c r="G20" s="858"/>
      <c r="H20" s="185"/>
      <c r="I20" s="832"/>
      <c r="J20" s="833"/>
      <c r="K20" s="833"/>
      <c r="L20" s="833"/>
      <c r="M20" s="833"/>
      <c r="N20" s="834"/>
      <c r="O20" s="35"/>
    </row>
    <row r="21" spans="1:15" ht="29.25" customHeight="1">
      <c r="A21" s="150"/>
      <c r="B21" s="415" t="s">
        <v>112</v>
      </c>
      <c r="C21" s="186"/>
      <c r="D21" s="847" t="str">
        <f>IF(ISBLANK(Management!C16),"",(Management!C16))</f>
        <v>The PR  has  two  SRs</v>
      </c>
      <c r="E21" s="847"/>
      <c r="F21" s="847"/>
      <c r="G21" s="858"/>
      <c r="H21" s="185"/>
      <c r="I21" s="832"/>
      <c r="J21" s="833"/>
      <c r="K21" s="833"/>
      <c r="L21" s="833"/>
      <c r="M21" s="833"/>
      <c r="N21" s="834"/>
      <c r="O21" s="35"/>
    </row>
    <row r="22" spans="1:15" ht="26.25" customHeight="1">
      <c r="A22" s="150"/>
      <c r="B22" s="415" t="s">
        <v>113</v>
      </c>
      <c r="C22" s="186"/>
      <c r="D22" s="847" t="str">
        <f>IF(ISBLANK(Management!I16),"",(Management!I16))</f>
        <v>Two SSRs submitted late reports to their SRs and the two SRs also submitted their report to the PR after the deadline</v>
      </c>
      <c r="E22" s="847"/>
      <c r="F22" s="847"/>
      <c r="G22" s="858"/>
      <c r="H22" s="185"/>
      <c r="I22" s="832"/>
      <c r="J22" s="833"/>
      <c r="K22" s="833"/>
      <c r="L22" s="833"/>
      <c r="M22" s="833"/>
      <c r="N22" s="834"/>
      <c r="O22" s="35"/>
    </row>
    <row r="23" spans="1:15" ht="24.75" customHeight="1">
      <c r="A23" s="150"/>
      <c r="B23" s="415" t="s">
        <v>114</v>
      </c>
      <c r="C23" s="186"/>
      <c r="D23" s="847" t="str">
        <f>IF(ISBLANK(Management!C27),"",(Management!C27))</f>
        <v>N/A</v>
      </c>
      <c r="E23" s="847"/>
      <c r="F23" s="847"/>
      <c r="G23" s="858"/>
      <c r="H23" s="185"/>
      <c r="I23" s="832"/>
      <c r="J23" s="833"/>
      <c r="K23" s="833"/>
      <c r="L23" s="833"/>
      <c r="M23" s="833"/>
      <c r="N23" s="834"/>
      <c r="O23" s="35"/>
    </row>
    <row r="24" spans="1:15" ht="27" customHeight="1" thickBot="1">
      <c r="A24" s="150"/>
      <c r="B24" s="416" t="s">
        <v>115</v>
      </c>
      <c r="C24" s="187"/>
      <c r="D24" s="868" t="str">
        <f>IF(ISBLANK(Management!I27),"",(Management!I27))</f>
        <v>N/A</v>
      </c>
      <c r="E24" s="868"/>
      <c r="F24" s="868"/>
      <c r="G24" s="869"/>
      <c r="H24" s="185"/>
      <c r="I24" s="829"/>
      <c r="J24" s="830"/>
      <c r="K24" s="830"/>
      <c r="L24" s="830"/>
      <c r="M24" s="830"/>
      <c r="N24" s="831"/>
      <c r="O24" s="35"/>
    </row>
    <row r="25" spans="1:15" ht="4.5" customHeight="1">
      <c r="A25" s="152"/>
      <c r="B25" s="157"/>
      <c r="C25" s="158"/>
      <c r="D25" s="173"/>
      <c r="E25" s="174"/>
      <c r="F25" s="175"/>
      <c r="G25" s="175"/>
      <c r="H25" s="159"/>
      <c r="I25" s="174"/>
      <c r="J25" s="160"/>
      <c r="K25" s="161"/>
      <c r="L25" s="162"/>
      <c r="M25" s="163"/>
      <c r="N25" s="164"/>
      <c r="O25" s="35"/>
    </row>
    <row r="26" spans="1:14" s="33" customFormat="1" ht="21" customHeight="1" thickBot="1">
      <c r="A26" s="152"/>
      <c r="B26" s="822" t="s">
        <v>100</v>
      </c>
      <c r="C26" s="822"/>
      <c r="D26" s="822"/>
      <c r="E26" s="822"/>
      <c r="F26" s="822"/>
      <c r="G26" s="822"/>
      <c r="H26" s="822"/>
      <c r="I26" s="822"/>
      <c r="J26" s="822"/>
      <c r="K26" s="822"/>
      <c r="L26" s="822"/>
      <c r="M26" s="822"/>
      <c r="N26" s="822"/>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43" t="s">
        <v>7</v>
      </c>
      <c r="C28" s="836"/>
      <c r="D28" s="870" t="s">
        <v>98</v>
      </c>
      <c r="E28" s="871"/>
      <c r="F28" s="871"/>
      <c r="G28" s="872"/>
      <c r="H28" s="159"/>
      <c r="I28" s="870" t="s">
        <v>313</v>
      </c>
      <c r="J28" s="871"/>
      <c r="K28" s="871"/>
      <c r="L28" s="871"/>
      <c r="M28" s="871"/>
      <c r="N28" s="872"/>
      <c r="O28" s="35"/>
    </row>
    <row r="29" spans="1:15" ht="29.25" customHeight="1">
      <c r="A29" s="150"/>
      <c r="B29" s="417" t="s">
        <v>314</v>
      </c>
      <c r="C29" s="188"/>
      <c r="D29" s="873">
        <f>IF(ISBLANK(Programmatic!C9),"",(Programmatic!C9))</f>
      </c>
      <c r="E29" s="874"/>
      <c r="F29" s="874"/>
      <c r="G29" s="875"/>
      <c r="H29" s="185"/>
      <c r="I29" s="855"/>
      <c r="J29" s="856"/>
      <c r="K29" s="856"/>
      <c r="L29" s="856"/>
      <c r="M29" s="856"/>
      <c r="N29" s="857"/>
      <c r="O29" s="35"/>
    </row>
    <row r="30" spans="1:15" ht="21.75" customHeight="1">
      <c r="A30" s="150"/>
      <c r="B30" s="418" t="s">
        <v>315</v>
      </c>
      <c r="C30" s="189"/>
      <c r="D30" s="867">
        <f>IF(ISBLANK(Programmatic!G9),"",(Programmatic!G9))</f>
      </c>
      <c r="E30" s="853"/>
      <c r="F30" s="853"/>
      <c r="G30" s="854"/>
      <c r="H30" s="185"/>
      <c r="I30" s="816"/>
      <c r="J30" s="817"/>
      <c r="K30" s="817"/>
      <c r="L30" s="817"/>
      <c r="M30" s="817"/>
      <c r="N30" s="818"/>
      <c r="O30" s="35"/>
    </row>
    <row r="31" spans="1:15" ht="21.75" customHeight="1">
      <c r="A31" s="150"/>
      <c r="B31" s="418" t="s">
        <v>316</v>
      </c>
      <c r="C31" s="189"/>
      <c r="D31" s="867">
        <f>IF(ISBLANK(Programmatic!M9),"",(Programmatic!M9))</f>
      </c>
      <c r="E31" s="853"/>
      <c r="F31" s="853"/>
      <c r="G31" s="854"/>
      <c r="H31" s="185"/>
      <c r="I31" s="816"/>
      <c r="J31" s="817"/>
      <c r="K31" s="817"/>
      <c r="L31" s="817"/>
      <c r="M31" s="817"/>
      <c r="N31" s="818"/>
      <c r="O31" s="35"/>
    </row>
    <row r="32" spans="1:15" ht="21.75" customHeight="1">
      <c r="A32" s="150"/>
      <c r="B32" s="419" t="s">
        <v>106</v>
      </c>
      <c r="C32" s="189"/>
      <c r="D32" s="852" t="str">
        <f>IF(ISBLANK(Programmatic!L20),"",(Programmatic!L20))</f>
        <v>Sustained high performance of  peer educators at the various sites flowing from Round 8 extension was made possible by clear and consistent communication. This led to a smooth transition into NFM </v>
      </c>
      <c r="E32" s="853"/>
      <c r="F32" s="853"/>
      <c r="G32" s="854"/>
      <c r="H32" s="185"/>
      <c r="I32" s="816"/>
      <c r="J32" s="817"/>
      <c r="K32" s="817"/>
      <c r="L32" s="817"/>
      <c r="M32" s="817"/>
      <c r="N32" s="818"/>
      <c r="O32" s="35"/>
    </row>
    <row r="33" spans="1:15" ht="27" customHeight="1">
      <c r="A33" s="150"/>
      <c r="B33" s="419" t="s">
        <v>107</v>
      </c>
      <c r="C33" s="189"/>
      <c r="D33" s="852" t="str">
        <f>IF(ISBLANK(Programmatic!L21),"",(Programmatic!L21))</f>
        <v>The timely release of testkits contributed to the achievement</v>
      </c>
      <c r="E33" s="853"/>
      <c r="F33" s="853"/>
      <c r="G33" s="854"/>
      <c r="H33" s="185"/>
      <c r="I33" s="816"/>
      <c r="J33" s="817"/>
      <c r="K33" s="817"/>
      <c r="L33" s="817"/>
      <c r="M33" s="817"/>
      <c r="N33" s="818"/>
      <c r="O33" s="35"/>
    </row>
    <row r="34" spans="1:15" ht="21.75" customHeight="1">
      <c r="A34" s="150"/>
      <c r="B34" s="419" t="s">
        <v>108</v>
      </c>
      <c r="C34" s="189"/>
      <c r="D34" s="852" t="str">
        <f>IF(ISBLANK(Programmatic!L22),"",(Programmatic!L22))</f>
        <v>Implementation started late  due to adjustment of grant architecture (MSM module subsumed under WAPCAS - SR)which led to delay in approval for MSM, SSRs to commence implementation. Scale up expected in Q1 of 2016</v>
      </c>
      <c r="E34" s="853"/>
      <c r="F34" s="853"/>
      <c r="G34" s="854"/>
      <c r="H34" s="185"/>
      <c r="I34" s="816"/>
      <c r="J34" s="817"/>
      <c r="K34" s="817"/>
      <c r="L34" s="817"/>
      <c r="M34" s="817"/>
      <c r="N34" s="818"/>
      <c r="O34" s="35"/>
    </row>
    <row r="35" spans="1:15" ht="21.75" customHeight="1">
      <c r="A35" s="150"/>
      <c r="B35" s="419" t="s">
        <v>109</v>
      </c>
      <c r="C35" s="228"/>
      <c r="D35" s="852" t="str">
        <f>IF(ISBLANK(Programmatic!L23),"",(Programmatic!L23))</f>
        <v>Implementation started late  due to adjustment of grant architecture (MSM module subsumed under WAPCAS - SR)which led to delay in approval for MSM, SSRs to commence implementation. Scale up expected in Q1 of 2016. Short fall in test kits received.</v>
      </c>
      <c r="E35" s="853"/>
      <c r="F35" s="853"/>
      <c r="G35" s="854"/>
      <c r="H35" s="185"/>
      <c r="I35" s="816"/>
      <c r="J35" s="817"/>
      <c r="K35" s="817"/>
      <c r="L35" s="817"/>
      <c r="M35" s="817"/>
      <c r="N35" s="818"/>
      <c r="O35" s="35"/>
    </row>
    <row r="36" spans="1:15" ht="21.75" customHeight="1">
      <c r="A36" s="150"/>
      <c r="B36" s="419" t="s">
        <v>120</v>
      </c>
      <c r="C36" s="228"/>
      <c r="D36" s="852" t="str">
        <f>IF(ISBLANK(Programmatic!L24),"",(Programmatic!L24))</f>
        <v>Modalities for engaging and registering of FSWs are underway</v>
      </c>
      <c r="E36" s="853"/>
      <c r="F36" s="853"/>
      <c r="G36" s="854"/>
      <c r="H36" s="185"/>
      <c r="I36" s="816"/>
      <c r="J36" s="817"/>
      <c r="K36" s="817"/>
      <c r="L36" s="817"/>
      <c r="M36" s="817"/>
      <c r="N36" s="818"/>
      <c r="O36" s="35"/>
    </row>
    <row r="37" spans="1:15" ht="21.75" customHeight="1">
      <c r="A37" s="150"/>
      <c r="B37" s="419" t="s">
        <v>121</v>
      </c>
      <c r="C37" s="228"/>
      <c r="D37" s="852" t="str">
        <f>IF(ISBLANK(Programmatic!L25),"",(Programmatic!L25))</f>
        <v>Modalities for engaging and registering of MSM are underway</v>
      </c>
      <c r="E37" s="853"/>
      <c r="F37" s="853"/>
      <c r="G37" s="854"/>
      <c r="H37" s="185"/>
      <c r="I37" s="816"/>
      <c r="J37" s="817"/>
      <c r="K37" s="817"/>
      <c r="L37" s="817"/>
      <c r="M37" s="817"/>
      <c r="N37" s="818"/>
      <c r="O37" s="35"/>
    </row>
    <row r="38" spans="1:15" ht="21.75" customHeight="1">
      <c r="A38" s="150"/>
      <c r="B38" s="419" t="s">
        <v>122</v>
      </c>
      <c r="C38" s="228"/>
      <c r="D38" s="852" t="str">
        <f>IF(ISBLANK(Programmatic!L26),"",(Programmatic!L26))</f>
        <v>Funds were realeased to health facilities in late December accounting for low numbers in registration</v>
      </c>
      <c r="E38" s="853"/>
      <c r="F38" s="853"/>
      <c r="G38" s="854"/>
      <c r="H38" s="185"/>
      <c r="I38" s="816"/>
      <c r="J38" s="817"/>
      <c r="K38" s="817"/>
      <c r="L38" s="817"/>
      <c r="M38" s="817"/>
      <c r="N38" s="818"/>
      <c r="O38" s="35"/>
    </row>
    <row r="39" spans="1:15" ht="21.75" customHeight="1">
      <c r="A39" s="150"/>
      <c r="B39" s="419" t="s">
        <v>123</v>
      </c>
      <c r="C39" s="228"/>
      <c r="D39" s="852" t="e">
        <f>IF(ISBLANK(Programmatic!#REF!),"",(Programmatic!#REF!))</f>
        <v>#REF!</v>
      </c>
      <c r="E39" s="853"/>
      <c r="F39" s="853"/>
      <c r="G39" s="854"/>
      <c r="H39" s="185"/>
      <c r="I39" s="816"/>
      <c r="J39" s="817"/>
      <c r="K39" s="817"/>
      <c r="L39" s="817"/>
      <c r="M39" s="817"/>
      <c r="N39" s="818"/>
      <c r="O39" s="35"/>
    </row>
    <row r="40" spans="1:15" ht="21.75" customHeight="1">
      <c r="A40" s="150"/>
      <c r="B40" s="419" t="s">
        <v>124</v>
      </c>
      <c r="C40" s="228"/>
      <c r="D40" s="852" t="e">
        <f>IF(ISBLANK(Programmatic!#REF!),"",(Programmatic!#REF!))</f>
        <v>#REF!</v>
      </c>
      <c r="E40" s="853"/>
      <c r="F40" s="853"/>
      <c r="G40" s="854"/>
      <c r="H40" s="185"/>
      <c r="I40" s="816"/>
      <c r="J40" s="817"/>
      <c r="K40" s="817"/>
      <c r="L40" s="817"/>
      <c r="M40" s="817"/>
      <c r="N40" s="818"/>
      <c r="O40" s="35"/>
    </row>
    <row r="41" spans="1:15" ht="21.75" customHeight="1" thickBot="1">
      <c r="A41" s="150"/>
      <c r="B41" s="419" t="s">
        <v>125</v>
      </c>
      <c r="C41" s="190"/>
      <c r="D41" s="852">
        <f>IF(ISBLANK(Programmatic!L27),"",(Programmatic!L27))</f>
      </c>
      <c r="E41" s="853"/>
      <c r="F41" s="853"/>
      <c r="G41" s="854"/>
      <c r="H41" s="185"/>
      <c r="I41" s="819"/>
      <c r="J41" s="820"/>
      <c r="K41" s="820"/>
      <c r="L41" s="820"/>
      <c r="M41" s="820"/>
      <c r="N41" s="821"/>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22">
      <selection activeCell="J16" sqref="J16:J17"/>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78" t="str">
        <f>+"Dashboard:  "&amp;"  "&amp;IF(+'Data Entry'!C4="Please Select","",'Data Entry'!C4&amp;" - ")&amp;IF('Data Entry'!G6="Please Select","",'Data Entry'!G6)</f>
        <v>Dashboard:    Ghana - HIV / AIDS</v>
      </c>
      <c r="C2" s="778"/>
      <c r="D2" s="778"/>
      <c r="E2" s="778"/>
      <c r="F2" s="778"/>
      <c r="G2" s="778"/>
      <c r="H2" s="778"/>
      <c r="I2" s="778"/>
      <c r="J2" s="778"/>
      <c r="K2" s="778"/>
      <c r="L2" s="778"/>
    </row>
    <row r="3" spans="2:13" ht="15">
      <c r="B3" s="24">
        <f>+IF('Data Entry'!G8="Please Select","",'Data Entry'!G8)</f>
      </c>
      <c r="C3" s="768" t="str">
        <f>+IF('Data Entry'!I8="Please Select","",'Data Entry'!I8)</f>
        <v>NFM</v>
      </c>
      <c r="D3" s="768"/>
      <c r="E3" s="769"/>
      <c r="F3" s="769"/>
      <c r="G3" s="769"/>
      <c r="H3" s="769"/>
      <c r="I3" s="769"/>
      <c r="J3" s="773" t="str">
        <f>+'Data Entry'!B16</f>
        <v>Report Period:</v>
      </c>
      <c r="K3" s="773"/>
      <c r="L3" s="198" t="str">
        <f>+'Data Entry'!C16</f>
        <v>Q2</v>
      </c>
      <c r="M3" s="84"/>
    </row>
    <row r="4" spans="2:12" ht="15">
      <c r="B4" s="24" t="str">
        <f>+'Data Entry'!B12</f>
        <v>Latest Rating:</v>
      </c>
      <c r="C4" s="925" t="str">
        <f>+IF('Data Entry'!C12="Please Select","",'Data Entry'!C12)</f>
        <v>A1</v>
      </c>
      <c r="D4" s="925"/>
      <c r="E4" s="769" t="str">
        <f>+'Data Entry'!C8</f>
        <v>Ghana AIDS Commission</v>
      </c>
      <c r="F4" s="769"/>
      <c r="G4" s="769"/>
      <c r="H4" s="769"/>
      <c r="I4" s="769"/>
      <c r="J4" s="773" t="str">
        <f>+'Data Entry'!D16</f>
        <v>From:</v>
      </c>
      <c r="K4" s="774"/>
      <c r="L4" s="199">
        <f>+IF(ISBLANK('Data Entry'!E16),"",'Data Entry'!E16)</f>
        <v>42278</v>
      </c>
    </row>
    <row r="5" spans="2:12" ht="18.75" customHeight="1">
      <c r="B5" s="24"/>
      <c r="C5" s="24"/>
      <c r="D5" s="769" t="str">
        <f>+'Data Entry'!G4</f>
        <v>Reinforcing the Scaling Up of HIV Services: Strengthening HIV
Prevention and Effective Targeting</v>
      </c>
      <c r="E5" s="769"/>
      <c r="F5" s="769"/>
      <c r="G5" s="769"/>
      <c r="H5" s="769"/>
      <c r="I5" s="769"/>
      <c r="J5" s="769"/>
      <c r="K5" s="24" t="str">
        <f>+'Data Entry'!F16</f>
        <v>To:</v>
      </c>
      <c r="L5" s="199">
        <f>+IF(ISBLANK('Data Entry'!G16),"",'Data Entry'!G16)</f>
        <v>42369</v>
      </c>
    </row>
    <row r="6" spans="2:9" ht="18.75">
      <c r="B6" s="23"/>
      <c r="C6" s="24"/>
      <c r="D6" s="25"/>
      <c r="E6" s="779" t="s">
        <v>370</v>
      </c>
      <c r="F6" s="779"/>
      <c r="G6" s="779"/>
      <c r="H6" s="779"/>
      <c r="I6" s="779"/>
    </row>
    <row r="7" spans="5:9" ht="18.75">
      <c r="E7" s="71"/>
      <c r="F7" s="71"/>
      <c r="G7" s="71"/>
      <c r="H7" s="71"/>
      <c r="I7" s="71"/>
    </row>
    <row r="8" spans="2:12" s="33" customFormat="1" ht="21" customHeight="1" thickBot="1">
      <c r="B8" s="75" t="s">
        <v>96</v>
      </c>
      <c r="C8" s="75"/>
      <c r="D8" s="75"/>
      <c r="E8" s="75"/>
      <c r="F8" s="75"/>
      <c r="G8" s="75"/>
      <c r="H8" s="75"/>
      <c r="I8" s="75"/>
      <c r="J8" s="75"/>
      <c r="K8" s="75"/>
      <c r="L8" s="75"/>
    </row>
    <row r="9" ht="6" customHeight="1">
      <c r="B9" s="73"/>
    </row>
    <row r="10" spans="2:12" ht="15">
      <c r="B10" s="876"/>
      <c r="C10" s="877"/>
      <c r="D10" s="877"/>
      <c r="E10" s="877"/>
      <c r="F10" s="877"/>
      <c r="G10" s="877"/>
      <c r="H10" s="877"/>
      <c r="I10" s="877"/>
      <c r="J10" s="877"/>
      <c r="K10" s="877"/>
      <c r="L10" s="878"/>
    </row>
    <row r="11" spans="2:12" ht="15">
      <c r="B11" s="879"/>
      <c r="C11" s="880"/>
      <c r="D11" s="880"/>
      <c r="E11" s="880"/>
      <c r="F11" s="880"/>
      <c r="G11" s="880"/>
      <c r="H11" s="880"/>
      <c r="I11" s="880"/>
      <c r="J11" s="880"/>
      <c r="K11" s="880"/>
      <c r="L11" s="881"/>
    </row>
    <row r="12" ht="15.75" thickBot="1"/>
    <row r="13" spans="2:12" ht="26.25" customHeight="1" thickBot="1">
      <c r="B13" s="906" t="s">
        <v>303</v>
      </c>
      <c r="C13" s="907"/>
      <c r="D13" s="907"/>
      <c r="E13" s="908"/>
      <c r="F13" s="76"/>
      <c r="G13" s="900" t="s">
        <v>127</v>
      </c>
      <c r="H13" s="882"/>
      <c r="I13" s="882"/>
      <c r="J13" s="77" t="s">
        <v>97</v>
      </c>
      <c r="K13" s="882" t="s">
        <v>290</v>
      </c>
      <c r="L13" s="883"/>
    </row>
    <row r="14" spans="1:12" ht="15">
      <c r="A14" s="901" t="s">
        <v>304</v>
      </c>
      <c r="B14" s="884"/>
      <c r="C14" s="884"/>
      <c r="D14" s="884"/>
      <c r="E14" s="885"/>
      <c r="F14" s="45"/>
      <c r="G14" s="924"/>
      <c r="H14" s="923"/>
      <c r="I14" s="923"/>
      <c r="J14" s="923"/>
      <c r="K14" s="923"/>
      <c r="L14" s="926"/>
    </row>
    <row r="15" spans="1:12" ht="15">
      <c r="A15" s="902"/>
      <c r="B15" s="884"/>
      <c r="C15" s="884"/>
      <c r="D15" s="884"/>
      <c r="E15" s="885"/>
      <c r="F15" s="45"/>
      <c r="G15" s="904"/>
      <c r="H15" s="892"/>
      <c r="I15" s="892"/>
      <c r="J15" s="892"/>
      <c r="K15" s="892"/>
      <c r="L15" s="893"/>
    </row>
    <row r="16" spans="1:12" ht="15">
      <c r="A16" s="902"/>
      <c r="B16" s="884"/>
      <c r="C16" s="884"/>
      <c r="D16" s="884"/>
      <c r="E16" s="885"/>
      <c r="F16" s="45"/>
      <c r="G16" s="904"/>
      <c r="H16" s="892"/>
      <c r="I16" s="892"/>
      <c r="J16" s="892"/>
      <c r="K16" s="892"/>
      <c r="L16" s="893"/>
    </row>
    <row r="17" spans="1:12" ht="15">
      <c r="A17" s="902"/>
      <c r="B17" s="884"/>
      <c r="C17" s="884"/>
      <c r="D17" s="884"/>
      <c r="E17" s="885"/>
      <c r="F17" s="45"/>
      <c r="G17" s="904"/>
      <c r="H17" s="892"/>
      <c r="I17" s="892"/>
      <c r="J17" s="892"/>
      <c r="K17" s="892"/>
      <c r="L17" s="893"/>
    </row>
    <row r="18" spans="1:12" ht="15">
      <c r="A18" s="902"/>
      <c r="B18" s="884"/>
      <c r="C18" s="884"/>
      <c r="D18" s="884"/>
      <c r="E18" s="885"/>
      <c r="F18" s="45"/>
      <c r="G18" s="894"/>
      <c r="H18" s="895"/>
      <c r="I18" s="896"/>
      <c r="J18" s="892"/>
      <c r="K18" s="892"/>
      <c r="L18" s="893"/>
    </row>
    <row r="19" spans="1:12" ht="30.75" customHeight="1">
      <c r="A19" s="902"/>
      <c r="B19" s="884"/>
      <c r="C19" s="884"/>
      <c r="D19" s="884"/>
      <c r="E19" s="885"/>
      <c r="F19" s="45"/>
      <c r="G19" s="897"/>
      <c r="H19" s="898"/>
      <c r="I19" s="899"/>
      <c r="J19" s="892"/>
      <c r="K19" s="892"/>
      <c r="L19" s="893"/>
    </row>
    <row r="20" spans="1:12" ht="15">
      <c r="A20" s="902"/>
      <c r="B20" s="884"/>
      <c r="C20" s="884"/>
      <c r="D20" s="884"/>
      <c r="E20" s="885"/>
      <c r="F20" s="45"/>
      <c r="G20" s="904"/>
      <c r="H20" s="892"/>
      <c r="I20" s="892"/>
      <c r="J20" s="892"/>
      <c r="K20" s="892"/>
      <c r="L20" s="893"/>
    </row>
    <row r="21" spans="1:12" ht="15">
      <c r="A21" s="902"/>
      <c r="B21" s="884"/>
      <c r="C21" s="884"/>
      <c r="D21" s="884"/>
      <c r="E21" s="885"/>
      <c r="F21" s="45"/>
      <c r="G21" s="904"/>
      <c r="H21" s="892"/>
      <c r="I21" s="892"/>
      <c r="J21" s="892"/>
      <c r="K21" s="892"/>
      <c r="L21" s="893"/>
    </row>
    <row r="22" spans="1:12" ht="15">
      <c r="A22" s="902"/>
      <c r="B22" s="884"/>
      <c r="C22" s="884"/>
      <c r="D22" s="884"/>
      <c r="E22" s="885"/>
      <c r="F22" s="45"/>
      <c r="G22" s="904"/>
      <c r="H22" s="892"/>
      <c r="I22" s="892"/>
      <c r="J22" s="892"/>
      <c r="K22" s="892"/>
      <c r="L22" s="893"/>
    </row>
    <row r="23" spans="1:12" ht="15">
      <c r="A23" s="902"/>
      <c r="B23" s="884"/>
      <c r="C23" s="884"/>
      <c r="D23" s="884"/>
      <c r="E23" s="885"/>
      <c r="F23" s="45"/>
      <c r="G23" s="904"/>
      <c r="H23" s="892"/>
      <c r="I23" s="892"/>
      <c r="J23" s="892"/>
      <c r="K23" s="892"/>
      <c r="L23" s="893"/>
    </row>
    <row r="24" spans="1:12" ht="15">
      <c r="A24" s="902"/>
      <c r="B24" s="884"/>
      <c r="C24" s="884"/>
      <c r="D24" s="884"/>
      <c r="E24" s="885"/>
      <c r="F24" s="45"/>
      <c r="G24" s="904"/>
      <c r="H24" s="892"/>
      <c r="I24" s="892"/>
      <c r="J24" s="892"/>
      <c r="K24" s="892"/>
      <c r="L24" s="893"/>
    </row>
    <row r="25" spans="1:12" ht="15.75" thickBot="1">
      <c r="A25" s="903"/>
      <c r="B25" s="886"/>
      <c r="C25" s="886"/>
      <c r="D25" s="886"/>
      <c r="E25" s="887"/>
      <c r="F25" s="45"/>
      <c r="G25" s="909"/>
      <c r="H25" s="910"/>
      <c r="I25" s="910"/>
      <c r="J25" s="910"/>
      <c r="K25" s="910"/>
      <c r="L25" s="927"/>
    </row>
    <row r="27" spans="5:9" ht="18.75">
      <c r="E27" s="905" t="s">
        <v>333</v>
      </c>
      <c r="F27" s="905"/>
      <c r="G27" s="905"/>
      <c r="H27" s="905"/>
      <c r="I27" s="905"/>
    </row>
    <row r="28" spans="5:9" ht="6" customHeight="1">
      <c r="E28" s="71"/>
      <c r="F28" s="71"/>
      <c r="G28" s="71"/>
      <c r="H28" s="71"/>
      <c r="I28" s="71"/>
    </row>
    <row r="29" spans="2:12" s="33" customFormat="1" ht="21" customHeight="1" thickBot="1">
      <c r="B29" s="75" t="s">
        <v>96</v>
      </c>
      <c r="C29" s="75"/>
      <c r="D29" s="75"/>
      <c r="E29" s="75"/>
      <c r="F29" s="75"/>
      <c r="G29" s="75"/>
      <c r="H29" s="75"/>
      <c r="I29" s="75"/>
      <c r="J29" s="75"/>
      <c r="K29" s="75"/>
      <c r="L29" s="75"/>
    </row>
    <row r="30" ht="6" customHeight="1" thickBot="1">
      <c r="B30" s="73"/>
    </row>
    <row r="31" spans="2:12" ht="21.75" customHeight="1" thickBot="1">
      <c r="B31" s="906" t="s">
        <v>127</v>
      </c>
      <c r="C31" s="907"/>
      <c r="D31" s="907"/>
      <c r="E31" s="908"/>
      <c r="F31" s="76"/>
      <c r="G31" s="900" t="s">
        <v>318</v>
      </c>
      <c r="H31" s="882"/>
      <c r="I31" s="882"/>
      <c r="J31" s="77" t="s">
        <v>292</v>
      </c>
      <c r="K31" s="882" t="s">
        <v>290</v>
      </c>
      <c r="L31" s="883"/>
    </row>
    <row r="32" spans="1:12" ht="14.25" customHeight="1">
      <c r="A32" s="901" t="s">
        <v>305</v>
      </c>
      <c r="B32" s="911"/>
      <c r="C32" s="912"/>
      <c r="D32" s="912"/>
      <c r="E32" s="913"/>
      <c r="F32" s="45"/>
      <c r="G32" s="888"/>
      <c r="H32" s="889"/>
      <c r="I32" s="889"/>
      <c r="J32" s="889"/>
      <c r="K32" s="889"/>
      <c r="L32" s="930"/>
    </row>
    <row r="33" spans="1:12" ht="16.5" customHeight="1">
      <c r="A33" s="902"/>
      <c r="B33" s="897"/>
      <c r="C33" s="898"/>
      <c r="D33" s="898"/>
      <c r="E33" s="914"/>
      <c r="F33" s="45"/>
      <c r="G33" s="890"/>
      <c r="H33" s="891"/>
      <c r="I33" s="891"/>
      <c r="J33" s="891"/>
      <c r="K33" s="891"/>
      <c r="L33" s="928"/>
    </row>
    <row r="34" spans="1:12" ht="15">
      <c r="A34" s="902"/>
      <c r="B34" s="915">
        <f>IF(Recommendations!I43="","",Recommendations!I43)</f>
      </c>
      <c r="C34" s="916"/>
      <c r="D34" s="916"/>
      <c r="E34" s="917"/>
      <c r="F34" s="45"/>
      <c r="G34" s="890"/>
      <c r="H34" s="891"/>
      <c r="I34" s="891"/>
      <c r="J34" s="891"/>
      <c r="K34" s="891"/>
      <c r="L34" s="928"/>
    </row>
    <row r="35" spans="1:12" ht="15">
      <c r="A35" s="902"/>
      <c r="B35" s="915"/>
      <c r="C35" s="916"/>
      <c r="D35" s="916"/>
      <c r="E35" s="917"/>
      <c r="F35" s="45"/>
      <c r="G35" s="890"/>
      <c r="H35" s="891"/>
      <c r="I35" s="891"/>
      <c r="J35" s="891"/>
      <c r="K35" s="891"/>
      <c r="L35" s="928"/>
    </row>
    <row r="36" spans="1:12" ht="15">
      <c r="A36" s="902"/>
      <c r="B36" s="915">
        <f>+IF(Recommendations!I53="","",Recommendations!I53)</f>
      </c>
      <c r="C36" s="916"/>
      <c r="D36" s="916"/>
      <c r="E36" s="917"/>
      <c r="F36" s="45"/>
      <c r="G36" s="890"/>
      <c r="H36" s="891"/>
      <c r="I36" s="891"/>
      <c r="J36" s="891"/>
      <c r="K36" s="891"/>
      <c r="L36" s="928"/>
    </row>
    <row r="37" spans="1:12" ht="15">
      <c r="A37" s="902"/>
      <c r="B37" s="915"/>
      <c r="C37" s="916"/>
      <c r="D37" s="916"/>
      <c r="E37" s="917"/>
      <c r="F37" s="45"/>
      <c r="G37" s="890"/>
      <c r="H37" s="891"/>
      <c r="I37" s="891"/>
      <c r="J37" s="891"/>
      <c r="K37" s="891"/>
      <c r="L37" s="928"/>
    </row>
    <row r="38" spans="1:12" ht="15">
      <c r="A38" s="902"/>
      <c r="B38" s="915"/>
      <c r="C38" s="916"/>
      <c r="D38" s="916"/>
      <c r="E38" s="917"/>
      <c r="F38" s="45"/>
      <c r="G38" s="890"/>
      <c r="H38" s="891"/>
      <c r="I38" s="891"/>
      <c r="J38" s="891"/>
      <c r="K38" s="891"/>
      <c r="L38" s="928"/>
    </row>
    <row r="39" spans="1:12" ht="15">
      <c r="A39" s="902"/>
      <c r="B39" s="915"/>
      <c r="C39" s="916"/>
      <c r="D39" s="916"/>
      <c r="E39" s="917"/>
      <c r="F39" s="45"/>
      <c r="G39" s="890"/>
      <c r="H39" s="891"/>
      <c r="I39" s="891"/>
      <c r="J39" s="891"/>
      <c r="K39" s="891"/>
      <c r="L39" s="928"/>
    </row>
    <row r="40" spans="1:12" ht="15">
      <c r="A40" s="902"/>
      <c r="B40" s="915"/>
      <c r="C40" s="916"/>
      <c r="D40" s="916"/>
      <c r="E40" s="917"/>
      <c r="F40" s="45"/>
      <c r="G40" s="890"/>
      <c r="H40" s="891"/>
      <c r="I40" s="891"/>
      <c r="J40" s="891"/>
      <c r="K40" s="891"/>
      <c r="L40" s="928"/>
    </row>
    <row r="41" spans="1:12" ht="15">
      <c r="A41" s="902"/>
      <c r="B41" s="915"/>
      <c r="C41" s="916"/>
      <c r="D41" s="916"/>
      <c r="E41" s="917"/>
      <c r="F41" s="45"/>
      <c r="G41" s="890"/>
      <c r="H41" s="891"/>
      <c r="I41" s="891"/>
      <c r="J41" s="891"/>
      <c r="K41" s="891"/>
      <c r="L41" s="928"/>
    </row>
    <row r="42" spans="1:12" ht="15">
      <c r="A42" s="902"/>
      <c r="B42" s="915"/>
      <c r="C42" s="916"/>
      <c r="D42" s="916"/>
      <c r="E42" s="917"/>
      <c r="F42" s="45"/>
      <c r="G42" s="890"/>
      <c r="H42" s="891"/>
      <c r="I42" s="891"/>
      <c r="J42" s="891"/>
      <c r="K42" s="891"/>
      <c r="L42" s="928"/>
    </row>
    <row r="43" spans="1:12" ht="15.75" thickBot="1">
      <c r="A43" s="903"/>
      <c r="B43" s="918"/>
      <c r="C43" s="919"/>
      <c r="D43" s="919"/>
      <c r="E43" s="920"/>
      <c r="F43" s="45"/>
      <c r="G43" s="921"/>
      <c r="H43" s="922"/>
      <c r="I43" s="922"/>
      <c r="J43" s="922"/>
      <c r="K43" s="922"/>
      <c r="L43" s="929"/>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2015-08-10T20:26:35Z</cp:lastPrinted>
  <dcterms:created xsi:type="dcterms:W3CDTF">2008-11-20T16:06:13Z</dcterms:created>
  <dcterms:modified xsi:type="dcterms:W3CDTF">2016-03-03T08:36:01Z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